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HP\"/>
    </mc:Choice>
  </mc:AlternateContent>
  <xr:revisionPtr revIDLastSave="0" documentId="13_ncr:1_{E7737B53-3803-40A9-8C8C-6CB959BF152A}" xr6:coauthVersionLast="36" xr6:coauthVersionMax="36" xr10:uidLastSave="{00000000-0000-0000-0000-000000000000}"/>
  <bookViews>
    <workbookView xWindow="-105" yWindow="-105" windowWidth="20715" windowHeight="13155" xr2:uid="{00000000-000D-0000-FFFF-FFFF00000000}"/>
  </bookViews>
  <sheets>
    <sheet name="計算シート" sheetId="1" r:id="rId1"/>
    <sheet name="計算の詳細" sheetId="2" r:id="rId2"/>
    <sheet name="算出基礎表" sheetId="13" state="hidden" r:id="rId3"/>
    <sheet name="参考 R6修正箇所" sheetId="14" state="hidden" r:id="rId4"/>
    <sheet name="給与所得" sheetId="5" state="hidden" r:id="rId5"/>
    <sheet name="年金所得" sheetId="6" state="hidden" r:id="rId6"/>
    <sheet name="ドロップダウンリスト" sheetId="12" state="hidden" r:id="rId7"/>
  </sheets>
  <definedNames>
    <definedName name="_xlnm.Print_Area" localSheetId="0">計算シート!$A$1:$AN$45</definedName>
    <definedName name="_xlnm.Print_Area" localSheetId="1">計算の詳細!$A$1:$S$63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3" l="1"/>
  <c r="J39" i="13"/>
  <c r="J38" i="13"/>
  <c r="J37" i="13"/>
  <c r="G4" i="13" l="1"/>
  <c r="G9" i="13" l="1"/>
  <c r="G8" i="13"/>
  <c r="G7" i="13"/>
  <c r="G6" i="13"/>
  <c r="G5" i="13"/>
  <c r="W43" i="1" l="1"/>
  <c r="P43" i="1"/>
  <c r="I43" i="1"/>
  <c r="J18" i="1" l="1"/>
  <c r="J24" i="1"/>
  <c r="F58" i="2"/>
  <c r="F39" i="2"/>
  <c r="F20" i="2"/>
  <c r="I53" i="2"/>
  <c r="I37" i="2"/>
  <c r="I34" i="2"/>
  <c r="I18" i="2"/>
  <c r="I15" i="2"/>
  <c r="M46" i="2"/>
  <c r="M27" i="2"/>
  <c r="M8" i="2"/>
  <c r="F19" i="13" l="1"/>
  <c r="D31" i="13" s="1"/>
  <c r="I31" i="13" s="1"/>
  <c r="F18" i="13"/>
  <c r="D30" i="13" s="1"/>
  <c r="F17" i="13"/>
  <c r="D29" i="13" s="1"/>
  <c r="F16" i="13"/>
  <c r="D28" i="13" s="1"/>
  <c r="I28" i="13" s="1"/>
  <c r="F15" i="13"/>
  <c r="D27" i="13" s="1"/>
  <c r="I27" i="13" s="1"/>
  <c r="F14" i="13"/>
  <c r="F9" i="13"/>
  <c r="F8" i="13"/>
  <c r="F7" i="13"/>
  <c r="F6" i="13"/>
  <c r="F5" i="13"/>
  <c r="F4" i="13"/>
  <c r="E9" i="13"/>
  <c r="E8" i="13"/>
  <c r="E7" i="13"/>
  <c r="E6" i="13"/>
  <c r="E5" i="13"/>
  <c r="E4" i="13"/>
  <c r="D9" i="13"/>
  <c r="C42" i="13" s="1"/>
  <c r="D8" i="13"/>
  <c r="C41" i="13" s="1"/>
  <c r="D7" i="13"/>
  <c r="C40" i="13" s="1"/>
  <c r="D6" i="13"/>
  <c r="C39" i="13" s="1"/>
  <c r="D5" i="13"/>
  <c r="C38" i="13" s="1"/>
  <c r="D4" i="13"/>
  <c r="C37" i="13" s="1"/>
  <c r="C9" i="13"/>
  <c r="C19" i="13" s="1"/>
  <c r="C8" i="13"/>
  <c r="C18" i="13" s="1"/>
  <c r="C7" i="13"/>
  <c r="C17" i="13" s="1"/>
  <c r="C6" i="13"/>
  <c r="C16" i="13" s="1"/>
  <c r="C5" i="13"/>
  <c r="C15" i="13" s="1"/>
  <c r="C4" i="13"/>
  <c r="C14" i="13" s="1"/>
  <c r="B4" i="13"/>
  <c r="B14" i="13" s="1"/>
  <c r="F30" i="13" l="1"/>
  <c r="I30" i="13"/>
  <c r="F29" i="13"/>
  <c r="I29" i="13"/>
  <c r="F31" i="13"/>
  <c r="B26" i="13"/>
  <c r="D14" i="13"/>
  <c r="L16" i="13"/>
  <c r="M28" i="13"/>
  <c r="L18" i="13"/>
  <c r="M30" i="13"/>
  <c r="L15" i="13"/>
  <c r="M27" i="13"/>
  <c r="L19" i="13"/>
  <c r="M31" i="13"/>
  <c r="L17" i="13"/>
  <c r="M29" i="13"/>
  <c r="L14" i="13"/>
  <c r="M26" i="13"/>
  <c r="D26" i="13"/>
  <c r="I26" i="13" s="1"/>
  <c r="E15" i="13"/>
  <c r="E17" i="13"/>
  <c r="E19" i="13"/>
  <c r="B16" i="13"/>
  <c r="B18" i="13"/>
  <c r="D18" i="13" s="1"/>
  <c r="E14" i="13"/>
  <c r="J17" i="13"/>
  <c r="J19" i="13"/>
  <c r="J18" i="13"/>
  <c r="B19" i="13"/>
  <c r="B17" i="13"/>
  <c r="C26" i="13"/>
  <c r="C30" i="13"/>
  <c r="K30" i="13" s="1"/>
  <c r="C28" i="13"/>
  <c r="K28" i="13" s="1"/>
  <c r="E18" i="13"/>
  <c r="E16" i="13"/>
  <c r="B15" i="13"/>
  <c r="C31" i="13"/>
  <c r="K31" i="13" s="1"/>
  <c r="C29" i="13"/>
  <c r="K29" i="13" s="1"/>
  <c r="C27" i="13"/>
  <c r="B31" i="13" l="1"/>
  <c r="D19" i="13"/>
  <c r="B29" i="13"/>
  <c r="D17" i="13"/>
  <c r="B28" i="13"/>
  <c r="D16" i="13"/>
  <c r="B27" i="13"/>
  <c r="D15" i="13"/>
  <c r="F26" i="13"/>
  <c r="B30" i="13"/>
  <c r="D42" i="13"/>
  <c r="E42" i="13"/>
  <c r="E39" i="13"/>
  <c r="D39" i="13"/>
  <c r="E37" i="13"/>
  <c r="D37" i="13"/>
  <c r="D38" i="13"/>
  <c r="E38" i="13"/>
  <c r="D40" i="13"/>
  <c r="E40" i="13"/>
  <c r="E41" i="13"/>
  <c r="D41" i="13"/>
  <c r="E20" i="13"/>
  <c r="G17" i="2" s="1"/>
  <c r="B20" i="13"/>
  <c r="J20" i="1"/>
  <c r="J22" i="1"/>
  <c r="J26" i="1"/>
  <c r="J28" i="1"/>
  <c r="C20" i="5"/>
  <c r="D22" i="6"/>
  <c r="C22" i="6"/>
  <c r="D27" i="6"/>
  <c r="C27" i="6"/>
  <c r="D26" i="6"/>
  <c r="C26" i="6"/>
  <c r="D25" i="6"/>
  <c r="C25" i="6"/>
  <c r="D24" i="6"/>
  <c r="C24" i="6"/>
  <c r="D23" i="6"/>
  <c r="C23" i="6"/>
  <c r="C21" i="5"/>
  <c r="C25" i="5"/>
  <c r="C24" i="5"/>
  <c r="C23" i="5"/>
  <c r="C22" i="5"/>
  <c r="D20" i="13" l="1"/>
  <c r="K53" i="2" s="1"/>
  <c r="P56" i="2" s="1"/>
  <c r="W36" i="1" s="1"/>
  <c r="B32" i="13"/>
  <c r="I23" i="5"/>
  <c r="L23" i="5"/>
  <c r="M23" i="5"/>
  <c r="O20" i="5"/>
  <c r="M20" i="5"/>
  <c r="K20" i="5"/>
  <c r="I20" i="5"/>
  <c r="E20" i="5"/>
  <c r="L20" i="5"/>
  <c r="J20" i="5"/>
  <c r="F20" i="5"/>
  <c r="N20" i="5"/>
  <c r="K15" i="2"/>
  <c r="K34" i="2" s="1"/>
  <c r="M34" i="2" s="1"/>
  <c r="M21" i="5"/>
  <c r="I21" i="5"/>
  <c r="L22" i="5"/>
  <c r="I22" i="5"/>
  <c r="G24" i="5"/>
  <c r="I24" i="5"/>
  <c r="K25" i="5"/>
  <c r="G25" i="5"/>
  <c r="I25" i="5"/>
  <c r="H23" i="5"/>
  <c r="J23" i="5"/>
  <c r="N24" i="5"/>
  <c r="K22" i="5"/>
  <c r="F23" i="5"/>
  <c r="G36" i="2"/>
  <c r="K17" i="2"/>
  <c r="K36" i="2" s="1"/>
  <c r="K24" i="6"/>
  <c r="B41" i="13"/>
  <c r="B37" i="13"/>
  <c r="B39" i="13"/>
  <c r="B40" i="13"/>
  <c r="B38" i="13"/>
  <c r="B42" i="13"/>
  <c r="H27" i="6"/>
  <c r="O24" i="5"/>
  <c r="N23" i="5"/>
  <c r="L24" i="5"/>
  <c r="K23" i="5"/>
  <c r="H24" i="5"/>
  <c r="J24" i="5"/>
  <c r="E23" i="5"/>
  <c r="K24" i="5"/>
  <c r="G23" i="5"/>
  <c r="E24" i="5"/>
  <c r="F25" i="5"/>
  <c r="M24" i="5"/>
  <c r="P26" i="6"/>
  <c r="F24" i="5"/>
  <c r="O23" i="5"/>
  <c r="O21" i="5"/>
  <c r="M25" i="5"/>
  <c r="J25" i="5"/>
  <c r="H25" i="5"/>
  <c r="P24" i="6"/>
  <c r="E25" i="5"/>
  <c r="L25" i="5"/>
  <c r="N25" i="5"/>
  <c r="H26" i="6"/>
  <c r="K26" i="6"/>
  <c r="M27" i="6"/>
  <c r="M24" i="6"/>
  <c r="K27" i="6"/>
  <c r="I24" i="6"/>
  <c r="L24" i="6"/>
  <c r="I25" i="6"/>
  <c r="N27" i="6"/>
  <c r="P27" i="6"/>
  <c r="I27" i="6"/>
  <c r="H24" i="6"/>
  <c r="G27" i="6"/>
  <c r="O27" i="6"/>
  <c r="K21" i="5"/>
  <c r="G26" i="6"/>
  <c r="L27" i="6"/>
  <c r="J27" i="6"/>
  <c r="J23" i="6"/>
  <c r="N26" i="6"/>
  <c r="I26" i="6"/>
  <c r="E21" i="5"/>
  <c r="O25" i="5"/>
  <c r="J26" i="6"/>
  <c r="O26" i="6"/>
  <c r="I22" i="6"/>
  <c r="N21" i="5"/>
  <c r="N25" i="6"/>
  <c r="P25" i="6"/>
  <c r="L26" i="6"/>
  <c r="H22" i="5"/>
  <c r="L21" i="5"/>
  <c r="M26" i="6"/>
  <c r="F22" i="5"/>
  <c r="J21" i="5"/>
  <c r="H21" i="5"/>
  <c r="G20" i="5"/>
  <c r="H20" i="5"/>
  <c r="G23" i="6"/>
  <c r="K25" i="6"/>
  <c r="H25" i="6"/>
  <c r="O25" i="6"/>
  <c r="M25" i="6"/>
  <c r="J25" i="6"/>
  <c r="G25" i="6"/>
  <c r="L25" i="6"/>
  <c r="P22" i="6"/>
  <c r="O23" i="6"/>
  <c r="M23" i="6"/>
  <c r="N23" i="6"/>
  <c r="L23" i="6"/>
  <c r="K23" i="6"/>
  <c r="I23" i="6"/>
  <c r="H23" i="6"/>
  <c r="P23" i="6"/>
  <c r="N22" i="6"/>
  <c r="J22" i="6"/>
  <c r="M22" i="6"/>
  <c r="G22" i="6"/>
  <c r="L22" i="6"/>
  <c r="H22" i="6"/>
  <c r="K22" i="6"/>
  <c r="O22" i="6"/>
  <c r="G21" i="5"/>
  <c r="F21" i="5"/>
  <c r="J22" i="5"/>
  <c r="O22" i="5"/>
  <c r="G22" i="5"/>
  <c r="N22" i="5"/>
  <c r="E22" i="5"/>
  <c r="M22" i="5"/>
  <c r="J24" i="6"/>
  <c r="O24" i="6"/>
  <c r="G24" i="6"/>
  <c r="N24" i="6"/>
  <c r="K39" i="13" l="1"/>
  <c r="K38" i="13"/>
  <c r="M15" i="2"/>
  <c r="B43" i="13"/>
  <c r="L36" i="2"/>
  <c r="D24" i="5"/>
  <c r="D23" i="5"/>
  <c r="F24" i="6"/>
  <c r="E24" i="6" s="1"/>
  <c r="K16" i="13" s="1"/>
  <c r="D25" i="5"/>
  <c r="G19" i="13" s="1"/>
  <c r="F26" i="6"/>
  <c r="E26" i="6" s="1"/>
  <c r="F27" i="6"/>
  <c r="E27" i="6" s="1"/>
  <c r="K19" i="13" s="1"/>
  <c r="D21" i="5"/>
  <c r="G15" i="13" s="1"/>
  <c r="D20" i="5"/>
  <c r="G14" i="13" s="1"/>
  <c r="F25" i="6"/>
  <c r="E25" i="6" s="1"/>
  <c r="F23" i="6"/>
  <c r="E36" i="2"/>
  <c r="M53" i="2"/>
  <c r="F22" i="6"/>
  <c r="E22" i="6" s="1"/>
  <c r="K14" i="13" s="1"/>
  <c r="R14" i="13" s="1"/>
  <c r="D22" i="5"/>
  <c r="G16" i="13" s="1"/>
  <c r="L38" i="13" l="1"/>
  <c r="I38" i="13" s="1"/>
  <c r="L39" i="13"/>
  <c r="I39" i="13" s="1"/>
  <c r="L37" i="13"/>
  <c r="I37" i="13" s="1"/>
  <c r="E23" i="6"/>
  <c r="K15" i="13" s="1"/>
  <c r="J26" i="13"/>
  <c r="K26" i="13" s="1"/>
  <c r="Q16" i="13"/>
  <c r="E28" i="13"/>
  <c r="F28" i="13" s="1"/>
  <c r="Q28" i="13" s="1"/>
  <c r="R19" i="13"/>
  <c r="J31" i="13"/>
  <c r="Q19" i="13"/>
  <c r="E31" i="13"/>
  <c r="Q31" i="13" s="1"/>
  <c r="Q14" i="13"/>
  <c r="E26" i="13"/>
  <c r="Q26" i="13" s="1"/>
  <c r="Q15" i="13"/>
  <c r="E27" i="13"/>
  <c r="R16" i="13"/>
  <c r="S16" i="13" s="1"/>
  <c r="H16" i="13" s="1"/>
  <c r="J28" i="13"/>
  <c r="K18" i="13"/>
  <c r="G17" i="13"/>
  <c r="E29" i="13" s="1"/>
  <c r="Q29" i="13" s="1"/>
  <c r="K17" i="13"/>
  <c r="G18" i="13"/>
  <c r="L17" i="2"/>
  <c r="E17" i="2"/>
  <c r="F27" i="13" l="1"/>
  <c r="Q27" i="13" s="1"/>
  <c r="L31" i="13"/>
  <c r="R31" i="13" s="1"/>
  <c r="L26" i="13"/>
  <c r="R26" i="13" s="1"/>
  <c r="L28" i="13"/>
  <c r="R28" i="13" s="1"/>
  <c r="R15" i="13"/>
  <c r="S15" i="13" s="1"/>
  <c r="H15" i="13" s="1"/>
  <c r="J27" i="13"/>
  <c r="K27" i="13" s="1"/>
  <c r="S14" i="13"/>
  <c r="H14" i="13" s="1"/>
  <c r="S19" i="13"/>
  <c r="H19" i="13" s="1"/>
  <c r="Q18" i="13"/>
  <c r="E30" i="13"/>
  <c r="Q30" i="13" s="1"/>
  <c r="R17" i="13"/>
  <c r="J29" i="13"/>
  <c r="R18" i="13"/>
  <c r="J30" i="13"/>
  <c r="Q17" i="13"/>
  <c r="I16" i="13"/>
  <c r="S17" i="13" l="1"/>
  <c r="H17" i="13" s="1"/>
  <c r="I17" i="13" s="1"/>
  <c r="M17" i="13" s="1"/>
  <c r="E49" i="2" s="1"/>
  <c r="G49" i="2" s="1"/>
  <c r="J16" i="13"/>
  <c r="M16" i="13" s="1"/>
  <c r="E48" i="2" s="1"/>
  <c r="G48" i="2" s="1"/>
  <c r="L30" i="13"/>
  <c r="R30" i="13" s="1"/>
  <c r="L29" i="13"/>
  <c r="R29" i="13" s="1"/>
  <c r="L27" i="13"/>
  <c r="R27" i="13" s="1"/>
  <c r="S18" i="13"/>
  <c r="H18" i="13" s="1"/>
  <c r="I18" i="13" s="1"/>
  <c r="M18" i="13" s="1"/>
  <c r="E50" i="2" s="1"/>
  <c r="G50" i="2" s="1"/>
  <c r="I19" i="13"/>
  <c r="M19" i="13" s="1"/>
  <c r="E51" i="2" s="1"/>
  <c r="G51" i="2" s="1"/>
  <c r="I15" i="13"/>
  <c r="I14" i="13"/>
  <c r="N17" i="13" l="1"/>
  <c r="E11" i="2"/>
  <c r="E30" i="2" s="1"/>
  <c r="J15" i="13"/>
  <c r="M15" i="13" s="1"/>
  <c r="E9" i="2" s="1"/>
  <c r="N16" i="13"/>
  <c r="E10" i="2"/>
  <c r="E29" i="2" s="1"/>
  <c r="S29" i="13"/>
  <c r="G29" i="13" s="1"/>
  <c r="N18" i="13"/>
  <c r="E12" i="2"/>
  <c r="S27" i="13"/>
  <c r="G27" i="13" s="1"/>
  <c r="J14" i="13"/>
  <c r="M14" i="13" s="1"/>
  <c r="E46" i="2" s="1"/>
  <c r="G46" i="2" s="1"/>
  <c r="N19" i="13"/>
  <c r="E13" i="2"/>
  <c r="F13" i="2" s="1"/>
  <c r="F32" i="2" s="1"/>
  <c r="S30" i="13"/>
  <c r="G30" i="13" s="1"/>
  <c r="S31" i="13"/>
  <c r="G31" i="13" s="1"/>
  <c r="G11" i="2" l="1"/>
  <c r="G30" i="2" s="1"/>
  <c r="F11" i="2"/>
  <c r="F30" i="2" s="1"/>
  <c r="H11" i="2"/>
  <c r="H30" i="2" s="1"/>
  <c r="E47" i="2"/>
  <c r="G47" i="2" s="1"/>
  <c r="E28" i="2"/>
  <c r="N15" i="13"/>
  <c r="G10" i="2"/>
  <c r="G29" i="2" s="1"/>
  <c r="F10" i="2"/>
  <c r="F29" i="2" s="1"/>
  <c r="H10" i="2"/>
  <c r="H29" i="2" s="1"/>
  <c r="H31" i="13"/>
  <c r="N31" i="13" s="1"/>
  <c r="H29" i="13"/>
  <c r="N29" i="13" s="1"/>
  <c r="H30" i="13"/>
  <c r="N30" i="13" s="1"/>
  <c r="H27" i="13"/>
  <c r="N27" i="13" s="1"/>
  <c r="E31" i="2"/>
  <c r="G12" i="2"/>
  <c r="G31" i="2" s="1"/>
  <c r="F12" i="2"/>
  <c r="I12" i="2"/>
  <c r="H12" i="2"/>
  <c r="S26" i="13"/>
  <c r="G26" i="13" s="1"/>
  <c r="S28" i="13"/>
  <c r="G28" i="13" s="1"/>
  <c r="M20" i="13"/>
  <c r="N14" i="13"/>
  <c r="H13" i="2"/>
  <c r="H32" i="2" s="1"/>
  <c r="G13" i="2"/>
  <c r="E32" i="2"/>
  <c r="E8" i="2"/>
  <c r="G8" i="2" s="1"/>
  <c r="G27" i="2" s="1"/>
  <c r="F51" i="2"/>
  <c r="N20" i="13" l="1"/>
  <c r="I10" i="2"/>
  <c r="I29" i="2" s="1"/>
  <c r="H49" i="2"/>
  <c r="F48" i="2"/>
  <c r="I11" i="2"/>
  <c r="I30" i="2" s="1"/>
  <c r="G9" i="2"/>
  <c r="G28" i="2" s="1"/>
  <c r="H48" i="2"/>
  <c r="F49" i="2"/>
  <c r="F9" i="2"/>
  <c r="F28" i="2" s="1"/>
  <c r="H9" i="2"/>
  <c r="H28" i="2" s="1"/>
  <c r="H28" i="13"/>
  <c r="N28" i="13" s="1"/>
  <c r="H26" i="13"/>
  <c r="N26" i="13" s="1"/>
  <c r="I31" i="2"/>
  <c r="I50" i="2"/>
  <c r="H31" i="2"/>
  <c r="H50" i="2"/>
  <c r="F31" i="2"/>
  <c r="F50" i="2"/>
  <c r="H51" i="2"/>
  <c r="I8" i="2"/>
  <c r="I27" i="2" s="1"/>
  <c r="E27" i="2"/>
  <c r="G32" i="2"/>
  <c r="I13" i="2"/>
  <c r="F8" i="2"/>
  <c r="F27" i="2" s="1"/>
  <c r="H8" i="2"/>
  <c r="H27" i="2" s="1"/>
  <c r="I48" i="2" l="1"/>
  <c r="I9" i="2"/>
  <c r="I28" i="2" s="1"/>
  <c r="F47" i="2"/>
  <c r="I49" i="2"/>
  <c r="H47" i="2"/>
  <c r="N32" i="13"/>
  <c r="I32" i="2"/>
  <c r="I51" i="2"/>
  <c r="I46" i="2"/>
  <c r="F46" i="2"/>
  <c r="H46" i="2"/>
  <c r="K29" i="2" l="1"/>
  <c r="P27" i="2" s="1"/>
  <c r="P32" i="1" s="1"/>
  <c r="I47" i="2"/>
  <c r="K48" i="2" s="1"/>
  <c r="P46" i="2" s="1"/>
  <c r="W32" i="1" s="1"/>
  <c r="K10" i="2"/>
  <c r="P8" i="2" s="1"/>
  <c r="I32" i="1" s="1"/>
  <c r="G37" i="13"/>
  <c r="G38" i="13" s="1"/>
  <c r="G39" i="13" s="1"/>
  <c r="G40" i="13" l="1"/>
  <c r="G16" i="2" s="1"/>
  <c r="I16" i="2" s="1"/>
  <c r="J16" i="2" s="1"/>
  <c r="I17" i="2" l="1"/>
  <c r="M17" i="2" s="1"/>
  <c r="E16" i="2"/>
  <c r="G19" i="2"/>
  <c r="C45" i="1"/>
  <c r="K16" i="2"/>
  <c r="M16" i="2" s="1"/>
  <c r="G35" i="2"/>
  <c r="G54" i="2"/>
  <c r="G38" i="2"/>
  <c r="L16" i="2"/>
  <c r="J17" i="2" l="1"/>
  <c r="P15" i="2"/>
  <c r="I34" i="1" s="1"/>
  <c r="I19" i="2"/>
  <c r="P18" i="2" s="1"/>
  <c r="I36" i="1" s="1"/>
  <c r="E19" i="2"/>
  <c r="E35" i="2"/>
  <c r="K35" i="2"/>
  <c r="L35" i="2"/>
  <c r="I35" i="2"/>
  <c r="I36" i="2" s="1"/>
  <c r="M36" i="2" s="1"/>
  <c r="I38" i="2"/>
  <c r="P37" i="2" s="1"/>
  <c r="P36" i="1" s="1"/>
  <c r="E38" i="2"/>
  <c r="K54" i="2"/>
  <c r="L54" i="2"/>
  <c r="I54" i="2"/>
  <c r="E54" i="2"/>
  <c r="K20" i="2" l="1"/>
  <c r="I38" i="1" s="1"/>
  <c r="J36" i="2"/>
  <c r="M35" i="2"/>
  <c r="P34" i="2" s="1"/>
  <c r="J35" i="2"/>
  <c r="J54" i="2"/>
  <c r="M54" i="2"/>
  <c r="P53" i="2" s="1"/>
  <c r="K39" i="2" l="1"/>
  <c r="P38" i="1" s="1"/>
  <c r="P34" i="1"/>
  <c r="W34" i="1"/>
  <c r="K58" i="2"/>
  <c r="W38" i="1" s="1"/>
  <c r="P60" i="2" l="1"/>
  <c r="AF38" i="1" s="1"/>
  <c r="P62" i="2" l="1"/>
  <c r="AF40" i="1" s="1"/>
</calcChain>
</file>

<file path=xl/sharedStrings.xml><?xml version="1.0" encoding="utf-8"?>
<sst xmlns="http://schemas.openxmlformats.org/spreadsheetml/2006/main" count="379" uniqueCount="198">
  <si>
    <t>世帯主</t>
    <rPh sb="0" eb="3">
      <t>セタイヌシ</t>
    </rPh>
    <phoneticPr fontId="3"/>
  </si>
  <si>
    <t>加入者１</t>
    <rPh sb="0" eb="3">
      <t>カニュウシャ</t>
    </rPh>
    <phoneticPr fontId="3"/>
  </si>
  <si>
    <t>加入者２</t>
    <rPh sb="0" eb="3">
      <t>カニュウシャ</t>
    </rPh>
    <phoneticPr fontId="3"/>
  </si>
  <si>
    <t>加入者３</t>
    <rPh sb="0" eb="3">
      <t>カニュウシャ</t>
    </rPh>
    <phoneticPr fontId="3"/>
  </si>
  <si>
    <t>加入者４</t>
    <rPh sb="0" eb="3">
      <t>カニュウシャ</t>
    </rPh>
    <phoneticPr fontId="3"/>
  </si>
  <si>
    <t>加入者５</t>
    <rPh sb="0" eb="3">
      <t>カニュウシャ</t>
    </rPh>
    <phoneticPr fontId="3"/>
  </si>
  <si>
    <t>円</t>
    <rPh sb="0" eb="1">
      <t>エン</t>
    </rPh>
    <phoneticPr fontId="3"/>
  </si>
  <si>
    <t>年齢区分</t>
    <rPh sb="0" eb="4">
      <t>ネンレイクブン</t>
    </rPh>
    <phoneticPr fontId="3"/>
  </si>
  <si>
    <t>給与収入</t>
    <rPh sb="0" eb="4">
      <t>キュウヨシュウニュウ</t>
    </rPh>
    <phoneticPr fontId="3"/>
  </si>
  <si>
    <t>年金収入</t>
    <rPh sb="0" eb="4">
      <t>ネンキンシュウニュウ</t>
    </rPh>
    <phoneticPr fontId="3"/>
  </si>
  <si>
    <t>その他所得</t>
    <rPh sb="2" eb="3">
      <t>タ</t>
    </rPh>
    <rPh sb="3" eb="5">
      <t>ショトク</t>
    </rPh>
    <phoneticPr fontId="3"/>
  </si>
  <si>
    <t>区分</t>
    <rPh sb="0" eb="2">
      <t>クブン</t>
    </rPh>
    <phoneticPr fontId="3"/>
  </si>
  <si>
    <t>医療分</t>
    <rPh sb="0" eb="3">
      <t>イリョウブン</t>
    </rPh>
    <phoneticPr fontId="3"/>
  </si>
  <si>
    <t>後期支援分</t>
    <rPh sb="0" eb="2">
      <t>コウキ</t>
    </rPh>
    <rPh sb="2" eb="4">
      <t>シエン</t>
    </rPh>
    <rPh sb="4" eb="5">
      <t>ブン</t>
    </rPh>
    <phoneticPr fontId="3"/>
  </si>
  <si>
    <t>介護分</t>
    <rPh sb="0" eb="3">
      <t>カイゴブン</t>
    </rPh>
    <phoneticPr fontId="3"/>
  </si>
  <si>
    <t>所得割</t>
    <rPh sb="0" eb="3">
      <t>ショトクワリ</t>
    </rPh>
    <phoneticPr fontId="3"/>
  </si>
  <si>
    <t>均等割</t>
    <rPh sb="0" eb="3">
      <t>キントウワ</t>
    </rPh>
    <phoneticPr fontId="3"/>
  </si>
  <si>
    <t>平等割</t>
    <rPh sb="0" eb="3">
      <t>ビョウドウワリ</t>
    </rPh>
    <phoneticPr fontId="3"/>
  </si>
  <si>
    <t>合計額</t>
    <rPh sb="0" eb="3">
      <t>ゴウケイガク</t>
    </rPh>
    <phoneticPr fontId="3"/>
  </si>
  <si>
    <t>※100円未満切り捨て</t>
    <rPh sb="4" eb="5">
      <t>エン</t>
    </rPh>
    <rPh sb="5" eb="7">
      <t>ミマン</t>
    </rPh>
    <rPh sb="7" eb="8">
      <t>キ</t>
    </rPh>
    <rPh sb="9" eb="10">
      <t>ス</t>
    </rPh>
    <phoneticPr fontId="3"/>
  </si>
  <si>
    <t>1カ月あたりの保険税</t>
    <rPh sb="2" eb="3">
      <t>ゲツ</t>
    </rPh>
    <rPh sb="7" eb="10">
      <t>ホケンゼイ</t>
    </rPh>
    <phoneticPr fontId="3"/>
  </si>
  <si>
    <t>（年間保険税／12か月）</t>
    <rPh sb="1" eb="6">
      <t>ネンカンホケンゼイ</t>
    </rPh>
    <phoneticPr fontId="3"/>
  </si>
  <si>
    <t>賦課限度額</t>
    <rPh sb="0" eb="2">
      <t>フカ</t>
    </rPh>
    <rPh sb="2" eb="5">
      <t>ゲンドガク</t>
    </rPh>
    <phoneticPr fontId="3"/>
  </si>
  <si>
    <t>　</t>
    <phoneticPr fontId="3"/>
  </si>
  <si>
    <t>非自発的
失業者</t>
    <rPh sb="0" eb="4">
      <t>ヒジハツテキ</t>
    </rPh>
    <rPh sb="5" eb="8">
      <t>シツギョウシャ</t>
    </rPh>
    <rPh sb="7" eb="8">
      <t>シャ</t>
    </rPh>
    <phoneticPr fontId="3"/>
  </si>
  <si>
    <t>＋</t>
    <phoneticPr fontId="3"/>
  </si>
  <si>
    <t>＝</t>
    <phoneticPr fontId="3"/>
  </si>
  <si>
    <t>年間保険税</t>
    <rPh sb="0" eb="5">
      <t>ネンカンホケンゼイ</t>
    </rPh>
    <phoneticPr fontId="3"/>
  </si>
  <si>
    <t>世帯割</t>
    <rPh sb="0" eb="3">
      <t>セタイワリ</t>
    </rPh>
    <phoneticPr fontId="3"/>
  </si>
  <si>
    <t>総所得金額等</t>
    <rPh sb="0" eb="6">
      <t>ソウショトクキンガクトウ</t>
    </rPh>
    <phoneticPr fontId="3"/>
  </si>
  <si>
    <t>※基礎控除額</t>
    <rPh sb="1" eb="3">
      <t>キソ</t>
    </rPh>
    <rPh sb="3" eb="6">
      <t>コウジョガク</t>
    </rPh>
    <phoneticPr fontId="3"/>
  </si>
  <si>
    <t>基礎控除後の
総所得金額等</t>
    <rPh sb="0" eb="2">
      <t>キソ</t>
    </rPh>
    <rPh sb="2" eb="4">
      <t>コウジョ</t>
    </rPh>
    <rPh sb="4" eb="5">
      <t>ゴ</t>
    </rPh>
    <rPh sb="7" eb="10">
      <t>ソウショトク</t>
    </rPh>
    <rPh sb="10" eb="12">
      <t>キンガク</t>
    </rPh>
    <rPh sb="12" eb="13">
      <t>トウ</t>
    </rPh>
    <phoneticPr fontId="3"/>
  </si>
  <si>
    <t>合計</t>
    <rPh sb="0" eb="2">
      <t>ゴウケイ</t>
    </rPh>
    <phoneticPr fontId="3"/>
  </si>
  <si>
    <t>所得割税率</t>
    <rPh sb="0" eb="3">
      <t>ショトクワリ</t>
    </rPh>
    <rPh sb="3" eb="5">
      <t>ゼイリツ</t>
    </rPh>
    <phoneticPr fontId="3"/>
  </si>
  <si>
    <t>医療分の保険税　(ア)+(イ)+(ウ)</t>
    <rPh sb="0" eb="3">
      <t>イリョウブン</t>
    </rPh>
    <rPh sb="4" eb="7">
      <t>ホケンゼイ</t>
    </rPh>
    <phoneticPr fontId="3"/>
  </si>
  <si>
    <t>（100円未満切り捨て）</t>
    <rPh sb="4" eb="5">
      <t>エン</t>
    </rPh>
    <rPh sb="5" eb="7">
      <t>ミマン</t>
    </rPh>
    <rPh sb="7" eb="8">
      <t>キ</t>
    </rPh>
    <rPh sb="9" eb="10">
      <t>ス</t>
    </rPh>
    <phoneticPr fontId="3"/>
  </si>
  <si>
    <t>…（ア）</t>
    <phoneticPr fontId="3"/>
  </si>
  <si>
    <t>…（イ）</t>
    <phoneticPr fontId="3"/>
  </si>
  <si>
    <t>…（ウ）</t>
    <phoneticPr fontId="3"/>
  </si>
  <si>
    <t>１人につき</t>
    <rPh sb="1" eb="2">
      <t>ニン</t>
    </rPh>
    <phoneticPr fontId="3"/>
  </si>
  <si>
    <t>１世帯につき</t>
    <rPh sb="1" eb="3">
      <t>セタイ</t>
    </rPh>
    <phoneticPr fontId="3"/>
  </si>
  <si>
    <t>×</t>
    <phoneticPr fontId="3"/>
  </si>
  <si>
    <t>１か月あたりの国民健康保険税（年間保険税／12か月）</t>
    <rPh sb="2" eb="3">
      <t>ツキ</t>
    </rPh>
    <rPh sb="7" eb="14">
      <t>コクミンケンコウホケンゼイ</t>
    </rPh>
    <rPh sb="15" eb="20">
      <t>ネンカンホケンゼイ</t>
    </rPh>
    <rPh sb="24" eb="25">
      <t>ツキ</t>
    </rPh>
    <phoneticPr fontId="3"/>
  </si>
  <si>
    <t>年間　国民健康保険税【①＋②＋③】</t>
    <rPh sb="0" eb="2">
      <t>ネンカン</t>
    </rPh>
    <rPh sb="3" eb="5">
      <t>コクミン</t>
    </rPh>
    <rPh sb="5" eb="7">
      <t>ケンコウ</t>
    </rPh>
    <rPh sb="7" eb="9">
      <t>ホケン</t>
    </rPh>
    <rPh sb="9" eb="10">
      <t>ゼイ</t>
    </rPh>
    <phoneticPr fontId="3"/>
  </si>
  <si>
    <t>給与所得</t>
    <rPh sb="0" eb="2">
      <t>キュウヨ</t>
    </rPh>
    <rPh sb="2" eb="4">
      <t>ショトク</t>
    </rPh>
    <phoneticPr fontId="3"/>
  </si>
  <si>
    <t>年金所得</t>
    <rPh sb="0" eb="4">
      <t>ネンキンショトク</t>
    </rPh>
    <phoneticPr fontId="3"/>
  </si>
  <si>
    <t>総所得金額等</t>
    <rPh sb="0" eb="3">
      <t>ソウショトク</t>
    </rPh>
    <rPh sb="3" eb="5">
      <t>キンガク</t>
    </rPh>
    <rPh sb="5" eb="6">
      <t>トウ</t>
    </rPh>
    <phoneticPr fontId="3"/>
  </si>
  <si>
    <t>給与等の収入金額（Ａ）</t>
    <rPh sb="0" eb="2">
      <t>キュウヨ</t>
    </rPh>
    <rPh sb="2" eb="3">
      <t>トウ</t>
    </rPh>
    <rPh sb="4" eb="6">
      <t>シュウニュウ</t>
    </rPh>
    <rPh sb="6" eb="8">
      <t>キンガク</t>
    </rPh>
    <phoneticPr fontId="3"/>
  </si>
  <si>
    <t>給与所得の金額（C）</t>
  </si>
  <si>
    <t>～</t>
  </si>
  <si>
    <t>0円＝（C）</t>
  </si>
  <si>
    <t>（A）－550,000円＝（C）</t>
    <phoneticPr fontId="3"/>
  </si>
  <si>
    <t>1,069,000円＝（C）</t>
    <phoneticPr fontId="3"/>
  </si>
  <si>
    <t>1,070,000円＝（C）</t>
    <phoneticPr fontId="3"/>
  </si>
  <si>
    <t>1,072,000円＝（C）</t>
    <phoneticPr fontId="3"/>
  </si>
  <si>
    <t>1,074,000円＝（C）</t>
    <phoneticPr fontId="3"/>
  </si>
  <si>
    <t>①：（A）÷４（千円未満切捨て）＝（B）　⇒　②：（B）×2.4+100,000＝（C）</t>
    <phoneticPr fontId="3"/>
  </si>
  <si>
    <t>①：（A）÷４（千円未満切捨て）＝（B）　⇒　②：（B）×2.8－80,000円＝（C）</t>
    <phoneticPr fontId="3"/>
  </si>
  <si>
    <t>①：（A）÷４（千円未満切捨て）＝（B）　⇒　②：（B）×3.2－440,000円＝（C）</t>
    <phoneticPr fontId="3"/>
  </si>
  <si>
    <t>（A）× 90％－1,100,000円＝（C）</t>
    <phoneticPr fontId="3"/>
  </si>
  <si>
    <t>～</t>
    <phoneticPr fontId="3"/>
  </si>
  <si>
    <t>（A）－1,950,000円＝（C）</t>
    <phoneticPr fontId="3"/>
  </si>
  <si>
    <t>公的年金等に係る雑所得・退職所得　算出表</t>
    <rPh sb="0" eb="2">
      <t>コウテキ</t>
    </rPh>
    <rPh sb="2" eb="4">
      <t>ネンキン</t>
    </rPh>
    <rPh sb="4" eb="5">
      <t>トウ</t>
    </rPh>
    <rPh sb="6" eb="7">
      <t>カカ</t>
    </rPh>
    <rPh sb="8" eb="11">
      <t>ザツショトク</t>
    </rPh>
    <rPh sb="12" eb="14">
      <t>タイショク</t>
    </rPh>
    <rPh sb="14" eb="16">
      <t>ショトク</t>
    </rPh>
    <rPh sb="17" eb="19">
      <t>サンシュツ</t>
    </rPh>
    <rPh sb="19" eb="20">
      <t>ヒョウ</t>
    </rPh>
    <phoneticPr fontId="3"/>
  </si>
  <si>
    <t>１．公的年金等に係る雑所得</t>
    <rPh sb="2" eb="4">
      <t>コウテキ</t>
    </rPh>
    <rPh sb="4" eb="6">
      <t>ネンキン</t>
    </rPh>
    <rPh sb="6" eb="7">
      <t>トウ</t>
    </rPh>
    <rPh sb="8" eb="9">
      <t>カカ</t>
    </rPh>
    <rPh sb="10" eb="13">
      <t>ザツショトク</t>
    </rPh>
    <phoneticPr fontId="3"/>
  </si>
  <si>
    <t>65歳以上</t>
    <rPh sb="2" eb="3">
      <t>サイ</t>
    </rPh>
    <rPh sb="3" eb="5">
      <t>イジョウ</t>
    </rPh>
    <phoneticPr fontId="3"/>
  </si>
  <si>
    <t>64歳以下</t>
    <rPh sb="2" eb="3">
      <t>サイ</t>
    </rPh>
    <rPh sb="3" eb="5">
      <t>イカ</t>
    </rPh>
    <phoneticPr fontId="3"/>
  </si>
  <si>
    <t>　（公的年金等控除額）</t>
  </si>
  <si>
    <t>受給者の区分</t>
    <rPh sb="0" eb="3">
      <t>ジュキュウシャ</t>
    </rPh>
    <rPh sb="4" eb="6">
      <t>クブン</t>
    </rPh>
    <phoneticPr fontId="3"/>
  </si>
  <si>
    <t>受給者の区分その年中の
公的年金等の収入金額（A）</t>
    <phoneticPr fontId="3"/>
  </si>
  <si>
    <t>控除額</t>
    <rPh sb="0" eb="2">
      <t>コウジョ</t>
    </rPh>
    <rPh sb="2" eb="3">
      <t>ガク</t>
    </rPh>
    <phoneticPr fontId="3"/>
  </si>
  <si>
    <t>110万円</t>
    <phoneticPr fontId="3"/>
  </si>
  <si>
    <t>（A）×25％＋ 27万5,000円</t>
    <phoneticPr fontId="3"/>
  </si>
  <si>
    <t>（A）×15％＋ 68万5,000円</t>
    <phoneticPr fontId="3"/>
  </si>
  <si>
    <t>（A）× 5％＋145万5,000円</t>
    <phoneticPr fontId="3"/>
  </si>
  <si>
    <t>195万5,000円</t>
    <rPh sb="9" eb="10">
      <t>エン</t>
    </rPh>
    <phoneticPr fontId="3"/>
  </si>
  <si>
    <t>60万円</t>
    <phoneticPr fontId="3"/>
  </si>
  <si>
    <t>所得金額調整控除（年金等）額</t>
    <rPh sb="0" eb="2">
      <t>ショトク</t>
    </rPh>
    <rPh sb="2" eb="4">
      <t>キンガク</t>
    </rPh>
    <rPh sb="4" eb="6">
      <t>チョウセイ</t>
    </rPh>
    <rPh sb="6" eb="8">
      <t>コウジョ</t>
    </rPh>
    <rPh sb="9" eb="11">
      <t>ネンキン</t>
    </rPh>
    <rPh sb="11" eb="12">
      <t>トウ</t>
    </rPh>
    <rPh sb="13" eb="14">
      <t>ガク</t>
    </rPh>
    <phoneticPr fontId="3"/>
  </si>
  <si>
    <t>給与収入</t>
    <rPh sb="0" eb="2">
      <t>キュウヨ</t>
    </rPh>
    <rPh sb="2" eb="4">
      <t>シュウニュウ</t>
    </rPh>
    <phoneticPr fontId="3"/>
  </si>
  <si>
    <t>７割軽減</t>
    <rPh sb="1" eb="2">
      <t>ワリ</t>
    </rPh>
    <rPh sb="2" eb="4">
      <t>ケイゲン</t>
    </rPh>
    <phoneticPr fontId="3"/>
  </si>
  <si>
    <t>５割軽減</t>
    <rPh sb="1" eb="2">
      <t>ワリ</t>
    </rPh>
    <rPh sb="2" eb="4">
      <t>ケイゲン</t>
    </rPh>
    <phoneticPr fontId="3"/>
  </si>
  <si>
    <t>２割軽減</t>
    <rPh sb="1" eb="2">
      <t>ワリ</t>
    </rPh>
    <rPh sb="2" eb="4">
      <t>ケイゲン</t>
    </rPh>
    <phoneticPr fontId="3"/>
  </si>
  <si>
    <t>加入者１</t>
    <rPh sb="0" eb="2">
      <t>カニュウ</t>
    </rPh>
    <rPh sb="2" eb="3">
      <t>シャ</t>
    </rPh>
    <phoneticPr fontId="3"/>
  </si>
  <si>
    <t>加入者２</t>
    <rPh sb="0" eb="2">
      <t>カニュウ</t>
    </rPh>
    <rPh sb="2" eb="3">
      <t>シャ</t>
    </rPh>
    <phoneticPr fontId="3"/>
  </si>
  <si>
    <t>加入者３</t>
    <rPh sb="0" eb="2">
      <t>カニュウ</t>
    </rPh>
    <rPh sb="2" eb="3">
      <t>シャ</t>
    </rPh>
    <phoneticPr fontId="3"/>
  </si>
  <si>
    <t>加入者４</t>
    <rPh sb="0" eb="2">
      <t>カニュウ</t>
    </rPh>
    <rPh sb="2" eb="3">
      <t>シャ</t>
    </rPh>
    <phoneticPr fontId="3"/>
  </si>
  <si>
    <t>加入者５</t>
    <rPh sb="0" eb="2">
      <t>カニュウ</t>
    </rPh>
    <rPh sb="2" eb="3">
      <t>シャ</t>
    </rPh>
    <phoneticPr fontId="3"/>
  </si>
  <si>
    <t>551,000～</t>
    <phoneticPr fontId="3"/>
  </si>
  <si>
    <t>1～550,999</t>
    <phoneticPr fontId="3"/>
  </si>
  <si>
    <t>1,619,000～</t>
    <phoneticPr fontId="3"/>
  </si>
  <si>
    <t>1,622,000～</t>
    <phoneticPr fontId="3"/>
  </si>
  <si>
    <t>1,624,000～</t>
    <phoneticPr fontId="3"/>
  </si>
  <si>
    <t>1,628,000～</t>
    <phoneticPr fontId="3"/>
  </si>
  <si>
    <t>1,800,000～</t>
    <phoneticPr fontId="3"/>
  </si>
  <si>
    <t>3,600,000～</t>
    <phoneticPr fontId="3"/>
  </si>
  <si>
    <t>6,600,000～</t>
    <phoneticPr fontId="3"/>
  </si>
  <si>
    <t>8,500,000～</t>
    <phoneticPr fontId="3"/>
  </si>
  <si>
    <t>1,620,000～</t>
    <phoneticPr fontId="3"/>
  </si>
  <si>
    <t>1～3,300,000</t>
    <phoneticPr fontId="3"/>
  </si>
  <si>
    <t>3,300,001～</t>
    <phoneticPr fontId="3"/>
  </si>
  <si>
    <t>4,100,001～</t>
    <phoneticPr fontId="3"/>
  </si>
  <si>
    <t>7,700,001～</t>
    <phoneticPr fontId="3"/>
  </si>
  <si>
    <t>10,000,001～</t>
    <phoneticPr fontId="3"/>
  </si>
  <si>
    <t>1～1,300,000</t>
    <phoneticPr fontId="3"/>
  </si>
  <si>
    <t>1,300,001～</t>
    <phoneticPr fontId="3"/>
  </si>
  <si>
    <t>年金収入</t>
    <rPh sb="0" eb="2">
      <t>ネンキン</t>
    </rPh>
    <rPh sb="2" eb="4">
      <t>シュウニュウ</t>
    </rPh>
    <phoneticPr fontId="3"/>
  </si>
  <si>
    <t>年金所得</t>
    <rPh sb="0" eb="2">
      <t>ネンキン</t>
    </rPh>
    <rPh sb="2" eb="4">
      <t>ショトク</t>
    </rPh>
    <phoneticPr fontId="3"/>
  </si>
  <si>
    <t>年金控除額</t>
    <rPh sb="0" eb="2">
      <t>ネンキン</t>
    </rPh>
    <rPh sb="2" eb="5">
      <t>コウジョガク</t>
    </rPh>
    <phoneticPr fontId="3"/>
  </si>
  <si>
    <t>年齢区分</t>
    <rPh sb="0" eb="2">
      <t>ネンレイ</t>
    </rPh>
    <rPh sb="2" eb="4">
      <t>クブン</t>
    </rPh>
    <phoneticPr fontId="3"/>
  </si>
  <si>
    <t>65歳以上</t>
    <phoneticPr fontId="3"/>
  </si>
  <si>
    <t>給与55万以上</t>
    <rPh sb="0" eb="2">
      <t>キュウヨ</t>
    </rPh>
    <rPh sb="4" eb="5">
      <t>マン</t>
    </rPh>
    <rPh sb="5" eb="7">
      <t>イジョウ</t>
    </rPh>
    <phoneticPr fontId="3"/>
  </si>
  <si>
    <t>合計所得1,000万円以下</t>
    <rPh sb="0" eb="4">
      <t>ゴウケイショトク</t>
    </rPh>
    <rPh sb="9" eb="11">
      <t>マンエン</t>
    </rPh>
    <rPh sb="11" eb="13">
      <t>イカ</t>
    </rPh>
    <phoneticPr fontId="3"/>
  </si>
  <si>
    <t>非自発的失業者の給与所得</t>
    <rPh sb="0" eb="3">
      <t>ヒジハツ</t>
    </rPh>
    <rPh sb="3" eb="4">
      <t>テキ</t>
    </rPh>
    <rPh sb="4" eb="6">
      <t>シツギョウ</t>
    </rPh>
    <rPh sb="6" eb="7">
      <t>シャ</t>
    </rPh>
    <rPh sb="8" eb="10">
      <t>キュウヨ</t>
    </rPh>
    <rPh sb="10" eb="12">
      <t>ショトク</t>
    </rPh>
    <phoneticPr fontId="3"/>
  </si>
  <si>
    <t>所得割</t>
  </si>
  <si>
    <t>総所得金額等</t>
  </si>
  <si>
    <t>※基礎控除額</t>
  </si>
  <si>
    <t>基礎控除後の
総所得金額等</t>
  </si>
  <si>
    <t>合計</t>
  </si>
  <si>
    <t>所得割税率</t>
  </si>
  <si>
    <t>世帯主</t>
  </si>
  <si>
    <t>…（ア）</t>
  </si>
  <si>
    <t>加入者１</t>
  </si>
  <si>
    <t>加入者２</t>
  </si>
  <si>
    <t>加入者３</t>
  </si>
  <si>
    <t>加入者４</t>
  </si>
  <si>
    <t>加入者５</t>
  </si>
  <si>
    <t>均等割</t>
  </si>
  <si>
    <t>１人につき</t>
  </si>
  <si>
    <t>×</t>
  </si>
  <si>
    <t>＝</t>
  </si>
  <si>
    <t>…（イ）</t>
  </si>
  <si>
    <t>世帯割</t>
  </si>
  <si>
    <t>１世帯につき</t>
  </si>
  <si>
    <t>…（ウ）</t>
  </si>
  <si>
    <t>（100円未満切り捨て）</t>
  </si>
  <si>
    <t>支援分の保険税　(ア)+(イ)+(ウ)</t>
    <rPh sb="0" eb="2">
      <t>シエン</t>
    </rPh>
    <phoneticPr fontId="3"/>
  </si>
  <si>
    <t>（最大43万円）</t>
    <rPh sb="1" eb="3">
      <t>サイダイ</t>
    </rPh>
    <rPh sb="5" eb="6">
      <t>マン</t>
    </rPh>
    <rPh sb="6" eb="7">
      <t>エン</t>
    </rPh>
    <phoneticPr fontId="3"/>
  </si>
  <si>
    <r>
      <t>…　</t>
    </r>
    <r>
      <rPr>
        <b/>
        <sz val="14"/>
        <color theme="1"/>
        <rFont val="游ゴシック"/>
        <family val="3"/>
        <charset val="128"/>
        <scheme val="minor"/>
      </rPr>
      <t>①</t>
    </r>
    <phoneticPr fontId="3"/>
  </si>
  <si>
    <r>
      <t>…　</t>
    </r>
    <r>
      <rPr>
        <b/>
        <sz val="14"/>
        <color theme="1"/>
        <rFont val="游ゴシック"/>
        <family val="3"/>
        <charset val="128"/>
        <scheme val="minor"/>
      </rPr>
      <t>②</t>
    </r>
    <phoneticPr fontId="3"/>
  </si>
  <si>
    <r>
      <t>…　</t>
    </r>
    <r>
      <rPr>
        <b/>
        <sz val="14"/>
        <color theme="1"/>
        <rFont val="游ゴシック"/>
        <family val="3"/>
        <charset val="128"/>
        <scheme val="minor"/>
      </rPr>
      <t>③</t>
    </r>
    <phoneticPr fontId="3"/>
  </si>
  <si>
    <t>介護分の保険税　(ア)+(イ)</t>
    <rPh sb="0" eb="2">
      <t>カイゴ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</si>
  <si>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</si>
  <si>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軽減判定用所得</t>
    <rPh sb="0" eb="2">
      <t>ケイゲン</t>
    </rPh>
    <rPh sb="2" eb="4">
      <t>ハンテイ</t>
    </rPh>
    <rPh sb="4" eb="5">
      <t>ヨウ</t>
    </rPh>
    <rPh sb="5" eb="7">
      <t>ショトク</t>
    </rPh>
    <phoneticPr fontId="3"/>
  </si>
  <si>
    <t>◎所得割算定用</t>
    <rPh sb="1" eb="4">
      <t>ショトクワリ</t>
    </rPh>
    <rPh sb="4" eb="7">
      <t>サンテイヨウ</t>
    </rPh>
    <phoneticPr fontId="3"/>
  </si>
  <si>
    <t>加入者1</t>
    <rPh sb="0" eb="3">
      <t>カニュウシャ</t>
    </rPh>
    <phoneticPr fontId="3"/>
  </si>
  <si>
    <t>加入者2</t>
    <rPh sb="0" eb="3">
      <t>カニュウシャ</t>
    </rPh>
    <phoneticPr fontId="3"/>
  </si>
  <si>
    <t>加入者3</t>
    <rPh sb="0" eb="3">
      <t>カニュウシャ</t>
    </rPh>
    <phoneticPr fontId="3"/>
  </si>
  <si>
    <t>加入者4</t>
    <rPh sb="0" eb="3">
      <t>カニュウシャ</t>
    </rPh>
    <phoneticPr fontId="3"/>
  </si>
  <si>
    <t>加入者5</t>
    <rPh sb="0" eb="3">
      <t>カニュウシャ</t>
    </rPh>
    <phoneticPr fontId="3"/>
  </si>
  <si>
    <t>世帯主国保加入有無</t>
    <rPh sb="0" eb="3">
      <t>セタイヌシ</t>
    </rPh>
    <rPh sb="3" eb="5">
      <t>コクホ</t>
    </rPh>
    <rPh sb="5" eb="7">
      <t>カニュウ</t>
    </rPh>
    <rPh sb="7" eb="9">
      <t>ウム</t>
    </rPh>
    <phoneticPr fontId="3"/>
  </si>
  <si>
    <t>年齢区分
1：65歳以上
2：64歳以下</t>
    <rPh sb="0" eb="2">
      <t>ネンレイ</t>
    </rPh>
    <rPh sb="2" eb="4">
      <t>クブン</t>
    </rPh>
    <rPh sb="9" eb="10">
      <t>サイ</t>
    </rPh>
    <rPh sb="10" eb="12">
      <t>イジョウ</t>
    </rPh>
    <rPh sb="17" eb="18">
      <t>サイ</t>
    </rPh>
    <rPh sb="18" eb="20">
      <t>イカ</t>
    </rPh>
    <phoneticPr fontId="3"/>
  </si>
  <si>
    <t>加入状況
0：加入なし
1：加入あり</t>
    <rPh sb="0" eb="2">
      <t>カニュウ</t>
    </rPh>
    <rPh sb="2" eb="4">
      <t>ジョウキョウ</t>
    </rPh>
    <rPh sb="7" eb="9">
      <t>カニュウ</t>
    </rPh>
    <rPh sb="14" eb="16">
      <t>カニュウ</t>
    </rPh>
    <phoneticPr fontId="3"/>
  </si>
  <si>
    <t>非自発失業
0：該当なし
1：該当あり</t>
    <rPh sb="0" eb="3">
      <t>ヒジハツ</t>
    </rPh>
    <rPh sb="3" eb="5">
      <t>シツギョウ</t>
    </rPh>
    <rPh sb="8" eb="10">
      <t>ガイトウ</t>
    </rPh>
    <rPh sb="15" eb="17">
      <t>ガイトウ</t>
    </rPh>
    <phoneticPr fontId="3"/>
  </si>
  <si>
    <t>所得金額調整控除額</t>
    <rPh sb="0" eb="2">
      <t>ショトク</t>
    </rPh>
    <rPh sb="2" eb="4">
      <t>キンガク</t>
    </rPh>
    <rPh sb="4" eb="6">
      <t>チョウセイ</t>
    </rPh>
    <rPh sb="6" eb="8">
      <t>コウジョ</t>
    </rPh>
    <rPh sb="8" eb="9">
      <t>ガク</t>
    </rPh>
    <phoneticPr fontId="3"/>
  </si>
  <si>
    <t>給与所得控除後の金額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phoneticPr fontId="3"/>
  </si>
  <si>
    <t>給与所得者等
0：該当なし
1：該当あり</t>
    <rPh sb="0" eb="2">
      <t>キュウヨ</t>
    </rPh>
    <rPh sb="2" eb="4">
      <t>ショトク</t>
    </rPh>
    <rPh sb="4" eb="5">
      <t>シャ</t>
    </rPh>
    <rPh sb="5" eb="6">
      <t>トウ</t>
    </rPh>
    <rPh sb="9" eb="11">
      <t>ガイトウ</t>
    </rPh>
    <rPh sb="16" eb="18">
      <t>ガイトウ</t>
    </rPh>
    <phoneticPr fontId="3"/>
  </si>
  <si>
    <t>年金所得控除（最大15万円）※軽減判定のみ</t>
    <rPh sb="0" eb="2">
      <t>ネンキン</t>
    </rPh>
    <rPh sb="2" eb="4">
      <t>ショトク</t>
    </rPh>
    <rPh sb="4" eb="6">
      <t>コウジョ</t>
    </rPh>
    <rPh sb="7" eb="9">
      <t>サイダイ</t>
    </rPh>
    <rPh sb="11" eb="13">
      <t>マンエン</t>
    </rPh>
    <rPh sb="15" eb="17">
      <t>ケイゲン</t>
    </rPh>
    <rPh sb="17" eb="19">
      <t>ハンテイ</t>
    </rPh>
    <phoneticPr fontId="3"/>
  </si>
  <si>
    <t>年金所得
※軽減判定用控除適用後</t>
    <rPh sb="0" eb="2">
      <t>ネンキン</t>
    </rPh>
    <rPh sb="2" eb="4">
      <t>ショトク</t>
    </rPh>
    <rPh sb="6" eb="8">
      <t>ケイゲン</t>
    </rPh>
    <rPh sb="8" eb="11">
      <t>ハンテイヨウ</t>
    </rPh>
    <rPh sb="11" eb="13">
      <t>コウジョ</t>
    </rPh>
    <rPh sb="13" eb="15">
      <t>テキヨウ</t>
    </rPh>
    <rPh sb="15" eb="16">
      <t>ゴ</t>
    </rPh>
    <phoneticPr fontId="3"/>
  </si>
  <si>
    <t>加算額①</t>
    <rPh sb="0" eb="3">
      <t>カサンガク</t>
    </rPh>
    <phoneticPr fontId="3"/>
  </si>
  <si>
    <t>加算額②</t>
    <rPh sb="0" eb="3">
      <t>カサンガク</t>
    </rPh>
    <phoneticPr fontId="3"/>
  </si>
  <si>
    <t>軽減判定基準額</t>
    <rPh sb="0" eb="2">
      <t>ケイゲン</t>
    </rPh>
    <rPh sb="2" eb="4">
      <t>ハンテイ</t>
    </rPh>
    <rPh sb="4" eb="7">
      <t>キジュンガク</t>
    </rPh>
    <phoneticPr fontId="3"/>
  </si>
  <si>
    <t>軽減割合</t>
    <rPh sb="0" eb="2">
      <t>ケイゲン</t>
    </rPh>
    <rPh sb="2" eb="4">
      <t>ワリアイ</t>
    </rPh>
    <phoneticPr fontId="3"/>
  </si>
  <si>
    <t>計</t>
    <rPh sb="0" eb="1">
      <t>ケイ</t>
    </rPh>
    <phoneticPr fontId="3"/>
  </si>
  <si>
    <t>未就学児
0：該当なし
1：該当あり</t>
    <rPh sb="0" eb="4">
      <t>ミシュウガクジ</t>
    </rPh>
    <rPh sb="7" eb="9">
      <t>ガイトウ</t>
    </rPh>
    <rPh sb="14" eb="16">
      <t>ガイトウ</t>
    </rPh>
    <phoneticPr fontId="3"/>
  </si>
  <si>
    <t>加入者
0：加入なし
1：加入あり</t>
    <rPh sb="0" eb="2">
      <t>カニュウ</t>
    </rPh>
    <rPh sb="2" eb="3">
      <t>シャ</t>
    </rPh>
    <rPh sb="6" eb="8">
      <t>カニュウ</t>
    </rPh>
    <rPh sb="13" eb="15">
      <t>カニュウ</t>
    </rPh>
    <phoneticPr fontId="3"/>
  </si>
  <si>
    <t>算出における所得額</t>
    <rPh sb="0" eb="2">
      <t>サンシュツ</t>
    </rPh>
    <rPh sb="6" eb="9">
      <t>ショトクガク</t>
    </rPh>
    <phoneticPr fontId="3"/>
  </si>
  <si>
    <t>年金60万以上
※64歳以下</t>
    <rPh sb="0" eb="2">
      <t>ネンキン</t>
    </rPh>
    <rPh sb="4" eb="5">
      <t>マン</t>
    </rPh>
    <rPh sb="5" eb="7">
      <t>イジョウ</t>
    </rPh>
    <rPh sb="11" eb="12">
      <t>サイ</t>
    </rPh>
    <rPh sb="12" eb="14">
      <t>イカ</t>
    </rPh>
    <phoneticPr fontId="3"/>
  </si>
  <si>
    <t>年金125万以上
※65歳以上</t>
    <rPh sb="0" eb="2">
      <t>ネンキン</t>
    </rPh>
    <rPh sb="5" eb="6">
      <t>マン</t>
    </rPh>
    <rPh sb="6" eb="8">
      <t>イジョウ</t>
    </rPh>
    <rPh sb="12" eb="13">
      <t>サイ</t>
    </rPh>
    <rPh sb="13" eb="15">
      <t>イジョウ</t>
    </rPh>
    <phoneticPr fontId="3"/>
  </si>
  <si>
    <t>軽減なし</t>
    <rPh sb="0" eb="2">
      <t>ケイゲン</t>
    </rPh>
    <phoneticPr fontId="3"/>
  </si>
  <si>
    <t>医療</t>
    <rPh sb="0" eb="2">
      <t>イリョウ</t>
    </rPh>
    <phoneticPr fontId="3"/>
  </si>
  <si>
    <t>後期支援</t>
    <rPh sb="0" eb="4">
      <t>コウキシエン</t>
    </rPh>
    <phoneticPr fontId="3"/>
  </si>
  <si>
    <t>介護</t>
    <rPh sb="0" eb="2">
      <t>カイゴ</t>
    </rPh>
    <phoneticPr fontId="3"/>
  </si>
  <si>
    <t>均等割</t>
    <rPh sb="0" eb="3">
      <t>キントウワリ</t>
    </rPh>
    <phoneticPr fontId="3"/>
  </si>
  <si>
    <t>賦課限度額</t>
    <rPh sb="0" eb="5">
      <t>フカゲンドガク</t>
    </rPh>
    <phoneticPr fontId="3"/>
  </si>
  <si>
    <t>◎軽減判定算定用</t>
    <rPh sb="1" eb="3">
      <t>ケイゲン</t>
    </rPh>
    <rPh sb="3" eb="5">
      <t>ハンテイ</t>
    </rPh>
    <rPh sb="5" eb="7">
      <t>サンテイ</t>
    </rPh>
    <rPh sb="7" eb="8">
      <t>ヨウ</t>
    </rPh>
    <phoneticPr fontId="3"/>
  </si>
  <si>
    <t>（所得金額調整控除）</t>
    <rPh sb="1" eb="3">
      <t>ショトク</t>
    </rPh>
    <rPh sb="3" eb="5">
      <t>キンガク</t>
    </rPh>
    <rPh sb="5" eb="7">
      <t>チョウセイ</t>
    </rPh>
    <rPh sb="7" eb="9">
      <t>コウジョ</t>
    </rPh>
    <phoneticPr fontId="3"/>
  </si>
  <si>
    <t>◆軽減判定所得</t>
    <rPh sb="1" eb="3">
      <t>ケイゲン</t>
    </rPh>
    <rPh sb="3" eb="5">
      <t>ハンテイ</t>
    </rPh>
    <rPh sb="5" eb="7">
      <t>ショトク</t>
    </rPh>
    <phoneticPr fontId="3"/>
  </si>
  <si>
    <t>◆給与所得者等の数</t>
    <rPh sb="1" eb="3">
      <t>キュウヨ</t>
    </rPh>
    <rPh sb="3" eb="6">
      <t>ショトクシャ</t>
    </rPh>
    <rPh sb="6" eb="7">
      <t>トウ</t>
    </rPh>
    <rPh sb="8" eb="9">
      <t>カズ</t>
    </rPh>
    <phoneticPr fontId="3"/>
  </si>
  <si>
    <t>◆軽減判定結果</t>
    <rPh sb="1" eb="3">
      <t>ケイゲン</t>
    </rPh>
    <rPh sb="3" eb="5">
      <t>ハンテイ</t>
    </rPh>
    <rPh sb="5" eb="7">
      <t>ケッカ</t>
    </rPh>
    <phoneticPr fontId="3"/>
  </si>
  <si>
    <t>介護該当
0：該当なし
1：該当あり</t>
    <rPh sb="0" eb="2">
      <t>カイゴ</t>
    </rPh>
    <rPh sb="2" eb="4">
      <t>ガイトウ</t>
    </rPh>
    <rPh sb="7" eb="9">
      <t>ガイトウ</t>
    </rPh>
    <rPh sb="14" eb="16">
      <t>ガイトウ</t>
    </rPh>
    <phoneticPr fontId="3"/>
  </si>
  <si>
    <t>◎計算シート入力情報</t>
    <rPh sb="1" eb="3">
      <t>ケイサン</t>
    </rPh>
    <rPh sb="6" eb="8">
      <t>ニュウリョク</t>
    </rPh>
    <rPh sb="8" eb="10">
      <t>ジョウホウ</t>
    </rPh>
    <phoneticPr fontId="3"/>
  </si>
  <si>
    <t>◎税率表</t>
    <rPh sb="1" eb="3">
      <t>ゼイリツ</t>
    </rPh>
    <rPh sb="3" eb="4">
      <t>ヒョウ</t>
    </rPh>
    <phoneticPr fontId="3"/>
  </si>
  <si>
    <t>基準控除額</t>
    <rPh sb="0" eb="2">
      <t>キジュン</t>
    </rPh>
    <rPh sb="2" eb="4">
      <t>コウジョ</t>
    </rPh>
    <rPh sb="4" eb="5">
      <t>ガク</t>
    </rPh>
    <phoneticPr fontId="3"/>
  </si>
  <si>
    <t>該当区分</t>
    <rPh sb="0" eb="2">
      <t>ガイトウ</t>
    </rPh>
    <rPh sb="2" eb="4">
      <t>クブン</t>
    </rPh>
    <phoneticPr fontId="3"/>
  </si>
  <si>
    <t>算出基礎表</t>
    <rPh sb="0" eb="2">
      <t>サンシュツ</t>
    </rPh>
    <rPh sb="2" eb="4">
      <t>キソ</t>
    </rPh>
    <rPh sb="4" eb="5">
      <t>ヒョウ</t>
    </rPh>
    <phoneticPr fontId="3"/>
  </si>
  <si>
    <t>加入しない</t>
  </si>
  <si>
    <t>給与所得算出表</t>
    <rPh sb="0" eb="2">
      <t>キュウヨ</t>
    </rPh>
    <rPh sb="2" eb="4">
      <t>ショトク</t>
    </rPh>
    <rPh sb="4" eb="6">
      <t>サンシュツ</t>
    </rPh>
    <rPh sb="6" eb="7">
      <t>ヒョウ</t>
    </rPh>
    <phoneticPr fontId="3"/>
  </si>
  <si>
    <t>非自発
該当有無</t>
    <rPh sb="0" eb="3">
      <t>ヒジハツ</t>
    </rPh>
    <rPh sb="4" eb="6">
      <t>ガイトウ</t>
    </rPh>
    <rPh sb="6" eb="8">
      <t>ウム</t>
    </rPh>
    <phoneticPr fontId="3"/>
  </si>
  <si>
    <r>
      <rPr>
        <b/>
        <sz val="12"/>
        <color theme="1"/>
        <rFont val="游ゴシック"/>
        <family val="3"/>
        <charset val="128"/>
        <scheme val="minor"/>
      </rPr>
      <t>判定結果</t>
    </r>
    <r>
      <rPr>
        <sz val="10"/>
        <color theme="1"/>
        <rFont val="游ゴシック"/>
        <family val="3"/>
        <charset val="128"/>
        <scheme val="minor"/>
      </rPr>
      <t xml:space="preserve">
７：７割軽減
５：５割軽減
２：２割軽減
０：軽減なし</t>
    </r>
    <rPh sb="0" eb="2">
      <t>ハンテイ</t>
    </rPh>
    <rPh sb="2" eb="4">
      <t>ケッカ</t>
    </rPh>
    <rPh sb="8" eb="9">
      <t>ワリ</t>
    </rPh>
    <rPh sb="9" eb="11">
      <t>ケイゲン</t>
    </rPh>
    <rPh sb="15" eb="16">
      <t>ワリ</t>
    </rPh>
    <rPh sb="16" eb="18">
      <t>ケイゲン</t>
    </rPh>
    <rPh sb="22" eb="23">
      <t>ワリ</t>
    </rPh>
    <rPh sb="23" eb="25">
      <t>ケイゲン</t>
    </rPh>
    <rPh sb="28" eb="30">
      <t>ケイゲン</t>
    </rPh>
    <phoneticPr fontId="3"/>
  </si>
  <si>
    <t>非自発的失業者給与所得控除後の金額</t>
    <rPh sb="7" eb="9">
      <t>キュウヨ</t>
    </rPh>
    <rPh sb="9" eb="11">
      <t>ショトク</t>
    </rPh>
    <rPh sb="11" eb="13">
      <t>コウジョ</t>
    </rPh>
    <rPh sb="13" eb="14">
      <t>ゴ</t>
    </rPh>
    <rPh sb="15" eb="17">
      <t>キンガク</t>
    </rPh>
    <phoneticPr fontId="3"/>
  </si>
  <si>
    <t>加入する</t>
  </si>
  <si>
    <t>基礎控除額</t>
    <rPh sb="0" eb="2">
      <t>キソ</t>
    </rPh>
    <rPh sb="2" eb="4">
      <t>コウジョ</t>
    </rPh>
    <rPh sb="4" eb="5">
      <t>ガク</t>
    </rPh>
    <phoneticPr fontId="3"/>
  </si>
  <si>
    <t>加算額①</t>
    <rPh sb="0" eb="2">
      <t>カサン</t>
    </rPh>
    <rPh sb="2" eb="3">
      <t>ガク</t>
    </rPh>
    <phoneticPr fontId="3"/>
  </si>
  <si>
    <t>加算額②</t>
    <rPh sb="0" eb="2">
      <t>カサン</t>
    </rPh>
    <rPh sb="2" eb="3">
      <t>ガク</t>
    </rPh>
    <phoneticPr fontId="3"/>
  </si>
  <si>
    <t>◎軽減判定算定基礎額表</t>
    <rPh sb="1" eb="3">
      <t>ケイゲン</t>
    </rPh>
    <rPh sb="3" eb="5">
      <t>ハンテイ</t>
    </rPh>
    <rPh sb="5" eb="7">
      <t>サンテイ</t>
    </rPh>
    <rPh sb="7" eb="9">
      <t>キソ</t>
    </rPh>
    <rPh sb="9" eb="10">
      <t>ガク</t>
    </rPh>
    <rPh sb="10" eb="11">
      <t>ヒョウ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</si>
  <si>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>４３万円</t>
    </r>
    <r>
      <rPr>
        <sz val="11"/>
        <color theme="1"/>
        <rFont val="游ゴシック"/>
        <family val="2"/>
        <charset val="128"/>
        <scheme val="minor"/>
      </rPr>
      <t>＋</t>
    </r>
    <r>
      <rPr>
        <sz val="11"/>
        <color theme="1"/>
        <rFont val="游ゴシック"/>
        <family val="3"/>
        <charset val="128"/>
        <scheme val="minor"/>
      </rPr>
      <t>｛１０万円×（給与所得者等の数－１）｝</t>
    </r>
    <rPh sb="2" eb="4">
      <t>マンエン</t>
    </rPh>
    <rPh sb="8" eb="10">
      <t>マンエン</t>
    </rPh>
    <rPh sb="12" eb="14">
      <t>キュウヨ</t>
    </rPh>
    <rPh sb="14" eb="17">
      <t>ショトクシャ</t>
    </rPh>
    <rPh sb="17" eb="18">
      <t>トウ</t>
    </rPh>
    <rPh sb="19" eb="20">
      <t>カズ</t>
    </rPh>
    <phoneticPr fontId="3"/>
  </si>
  <si>
    <r>
      <t>計算式
（</t>
    </r>
    <r>
      <rPr>
        <sz val="10"/>
        <color rgb="FFFF0000"/>
        <rFont val="游ゴシック"/>
        <family val="3"/>
        <charset val="128"/>
        <scheme val="minor"/>
      </rPr>
      <t>基礎控除額</t>
    </r>
    <r>
      <rPr>
        <sz val="10"/>
        <color theme="1"/>
        <rFont val="游ゴシック"/>
        <family val="3"/>
        <charset val="128"/>
        <scheme val="minor"/>
      </rPr>
      <t>＋</t>
    </r>
    <r>
      <rPr>
        <sz val="10"/>
        <color theme="7" tint="-0.499984740745262"/>
        <rFont val="游ゴシック"/>
        <family val="3"/>
        <charset val="128"/>
        <scheme val="minor"/>
      </rPr>
      <t>加算額①</t>
    </r>
    <r>
      <rPr>
        <sz val="10"/>
        <color theme="1"/>
        <rFont val="游ゴシック"/>
        <family val="3"/>
        <charset val="128"/>
        <scheme val="minor"/>
      </rPr>
      <t>＋加算額②）</t>
    </r>
    <rPh sb="0" eb="2">
      <t>ケイサン</t>
    </rPh>
    <rPh sb="2" eb="3">
      <t>シキ</t>
    </rPh>
    <rPh sb="5" eb="7">
      <t>キソ</t>
    </rPh>
    <rPh sb="7" eb="9">
      <t>コウジョ</t>
    </rPh>
    <rPh sb="9" eb="10">
      <t>ガク</t>
    </rPh>
    <rPh sb="11" eb="14">
      <t>カサンガク</t>
    </rPh>
    <rPh sb="16" eb="19">
      <t>カサンガク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</si>
  <si>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>４３万円</t>
    </r>
    <r>
      <rPr>
        <sz val="11"/>
        <color theme="1"/>
        <rFont val="游ゴシック"/>
        <family val="2"/>
        <charset val="128"/>
        <scheme val="minor"/>
      </rPr>
      <t>＋</t>
    </r>
    <r>
      <rPr>
        <sz val="11"/>
        <color theme="7" tint="-0.499984740745262"/>
        <rFont val="游ゴシック"/>
        <family val="3"/>
        <charset val="128"/>
        <scheme val="minor"/>
      </rPr>
      <t>（３０.５万円×被保険者数）</t>
    </r>
    <r>
      <rPr>
        <sz val="11"/>
        <color theme="1"/>
        <rFont val="游ゴシック"/>
        <family val="2"/>
        <charset val="128"/>
        <scheme val="minor"/>
      </rPr>
      <t>＋｛１０万円×（給与所得者等の数－１）｝</t>
    </r>
    <rPh sb="2" eb="4">
      <t>マンエン</t>
    </rPh>
    <rPh sb="10" eb="12">
      <t>マンエン</t>
    </rPh>
    <rPh sb="13" eb="17">
      <t>ヒホケンシャ</t>
    </rPh>
    <rPh sb="17" eb="18">
      <t>スウ</t>
    </rPh>
    <rPh sb="23" eb="25">
      <t>マンエン</t>
    </rPh>
    <rPh sb="27" eb="29">
      <t>キュウヨ</t>
    </rPh>
    <rPh sb="29" eb="32">
      <t>ショトクシャ</t>
    </rPh>
    <rPh sb="32" eb="33">
      <t>トウ</t>
    </rPh>
    <rPh sb="34" eb="35">
      <t>カズ</t>
    </rPh>
    <phoneticPr fontId="3"/>
  </si>
  <si>
    <r>
      <rPr>
        <sz val="11"/>
        <color rgb="FFFF0000"/>
        <rFont val="游ゴシック"/>
        <family val="3"/>
        <charset val="128"/>
        <scheme val="minor"/>
      </rPr>
      <t>４３万円</t>
    </r>
    <r>
      <rPr>
        <sz val="11"/>
        <color theme="1"/>
        <rFont val="游ゴシック"/>
        <family val="2"/>
        <charset val="128"/>
        <scheme val="minor"/>
      </rPr>
      <t>＋</t>
    </r>
    <r>
      <rPr>
        <sz val="11"/>
        <color theme="7" tint="-0.499984740745262"/>
        <rFont val="游ゴシック"/>
        <family val="3"/>
        <charset val="128"/>
        <scheme val="minor"/>
      </rPr>
      <t>（５６</t>
    </r>
    <r>
      <rPr>
        <sz val="11"/>
        <color theme="7" tint="-0.499984740745262"/>
        <rFont val="游ゴシック"/>
        <family val="3"/>
        <charset val="128"/>
      </rPr>
      <t>.</t>
    </r>
    <r>
      <rPr>
        <sz val="11"/>
        <color theme="7" tint="-0.499984740745262"/>
        <rFont val="游ゴシック"/>
        <family val="3"/>
        <charset val="128"/>
        <scheme val="minor"/>
      </rPr>
      <t>５万円×被保険者数）</t>
    </r>
    <r>
      <rPr>
        <sz val="11"/>
        <color theme="1"/>
        <rFont val="游ゴシック"/>
        <family val="2"/>
        <charset val="128"/>
        <scheme val="minor"/>
      </rPr>
      <t>＋｛１０万円×（給与所得者等の数－１）｝</t>
    </r>
    <rPh sb="2" eb="4">
      <t>マンエン</t>
    </rPh>
    <rPh sb="10" eb="12">
      <t>マンエン</t>
    </rPh>
    <rPh sb="13" eb="17">
      <t>ヒホケンシャ</t>
    </rPh>
    <rPh sb="17" eb="18">
      <t>スウ</t>
    </rPh>
    <rPh sb="23" eb="25">
      <t>マンエン</t>
    </rPh>
    <rPh sb="27" eb="29">
      <t>キュウヨ</t>
    </rPh>
    <rPh sb="29" eb="32">
      <t>ショトクシャ</t>
    </rPh>
    <rPh sb="32" eb="33">
      <t>トウ</t>
    </rPh>
    <rPh sb="34" eb="35">
      <t>カズ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</si>
</sst>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人&quot;"/>
    <numFmt numFmtId="177" formatCode="#,##0_ "/>
    <numFmt numFmtId="178" formatCode="0&quot;割軽減&quot;"/>
    <numFmt numFmtId="179" formatCode="#,###&quot;円&quot;"/>
    <numFmt numFmtId="180" formatCode="#,##0;&quot;▲ &quot;#,###&quot;円&quot;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7" tint="-0.499984740745262"/>
      <name val="游ゴシック"/>
      <family val="3"/>
      <charset val="128"/>
      <scheme val="minor"/>
    </font>
    <font>
      <sz val="11"/>
      <color theme="7" tint="-0.499984740745262"/>
      <name val="游ゴシック"/>
      <family val="3"/>
      <charset val="128"/>
    </font>
    <font>
      <sz val="10"/>
      <color theme="7" tint="-0.499984740745262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5">
    <xf numFmtId="0" fontId="0" fillId="0" borderId="0" xfId="0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4" xfId="0" applyFill="1" applyBorder="1">
      <alignment vertical="center"/>
    </xf>
    <xf numFmtId="0" fontId="0" fillId="5" borderId="4" xfId="0" applyFill="1" applyBorder="1">
      <alignment vertical="center"/>
    </xf>
    <xf numFmtId="0" fontId="0" fillId="0" borderId="8" xfId="0" applyBorder="1" applyAlignment="1">
      <alignment vertical="center"/>
    </xf>
    <xf numFmtId="0" fontId="0" fillId="3" borderId="12" xfId="0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3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0" borderId="1" xfId="0" applyBorder="1">
      <alignment vertical="center"/>
    </xf>
    <xf numFmtId="177" fontId="0" fillId="0" borderId="2" xfId="0" applyNumberFormat="1" applyBorder="1">
      <alignment vertical="center"/>
    </xf>
    <xf numFmtId="177" fontId="0" fillId="0" borderId="3" xfId="0" applyNumberFormat="1" applyBorder="1" applyAlignment="1">
      <alignment horizontal="center" vertical="center"/>
    </xf>
    <xf numFmtId="177" fontId="0" fillId="0" borderId="4" xfId="0" applyNumberFormat="1" applyBorder="1">
      <alignment vertical="center"/>
    </xf>
    <xf numFmtId="38" fontId="0" fillId="0" borderId="0" xfId="0" applyNumberForma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7" borderId="4" xfId="0" applyFill="1" applyBorder="1">
      <alignment vertical="center"/>
    </xf>
    <xf numFmtId="0" fontId="20" fillId="0" borderId="0" xfId="0" applyFont="1">
      <alignment vertical="center"/>
    </xf>
    <xf numFmtId="0" fontId="10" fillId="0" borderId="0" xfId="0" applyFont="1">
      <alignment vertical="center"/>
    </xf>
    <xf numFmtId="0" fontId="10" fillId="0" borderId="17" xfId="0" applyFont="1" applyBorder="1" applyAlignment="1">
      <alignment vertical="center" shrinkToFit="1"/>
    </xf>
    <xf numFmtId="0" fontId="10" fillId="0" borderId="18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19" xfId="0" applyFont="1" applyBorder="1" applyAlignment="1">
      <alignment vertical="center" shrinkToFit="1"/>
    </xf>
    <xf numFmtId="0" fontId="10" fillId="2" borderId="23" xfId="0" applyFont="1" applyFill="1" applyBorder="1" applyAlignment="1">
      <alignment vertical="center" shrinkToFit="1"/>
    </xf>
    <xf numFmtId="179" fontId="10" fillId="2" borderId="24" xfId="1" applyNumberFormat="1" applyFont="1" applyFill="1" applyBorder="1" applyAlignment="1">
      <alignment vertical="center" shrinkToFit="1"/>
    </xf>
    <xf numFmtId="0" fontId="10" fillId="2" borderId="24" xfId="0" applyFont="1" applyFill="1" applyBorder="1" applyAlignment="1">
      <alignment horizontal="center" vertical="center" shrinkToFit="1"/>
    </xf>
    <xf numFmtId="0" fontId="10" fillId="2" borderId="24" xfId="0" applyFont="1" applyFill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179" fontId="10" fillId="0" borderId="24" xfId="1" applyNumberFormat="1" applyFont="1" applyBorder="1" applyAlignment="1">
      <alignment vertical="center" shrinkToFit="1"/>
    </xf>
    <xf numFmtId="0" fontId="10" fillId="0" borderId="24" xfId="0" applyFont="1" applyBorder="1" applyAlignment="1">
      <alignment horizontal="center" vertical="center" shrinkToFit="1"/>
    </xf>
    <xf numFmtId="179" fontId="10" fillId="0" borderId="24" xfId="1" applyNumberFormat="1" applyFont="1" applyBorder="1" applyAlignment="1">
      <alignment horizontal="right" vertical="center" shrinkToFit="1"/>
    </xf>
    <xf numFmtId="0" fontId="10" fillId="0" borderId="24" xfId="0" applyFont="1" applyBorder="1" applyAlignment="1">
      <alignment vertical="center" shrinkToFit="1"/>
    </xf>
    <xf numFmtId="0" fontId="10" fillId="0" borderId="25" xfId="0" applyFont="1" applyBorder="1" applyAlignment="1">
      <alignment vertical="center" shrinkToFit="1"/>
    </xf>
    <xf numFmtId="179" fontId="10" fillId="2" borderId="24" xfId="1" applyNumberFormat="1" applyFont="1" applyFill="1" applyBorder="1" applyAlignment="1">
      <alignment horizontal="right" vertical="center" shrinkToFit="1"/>
    </xf>
    <xf numFmtId="0" fontId="10" fillId="0" borderId="26" xfId="0" applyFont="1" applyBorder="1" applyAlignment="1">
      <alignment vertical="center" shrinkToFit="1"/>
    </xf>
    <xf numFmtId="179" fontId="10" fillId="0" borderId="27" xfId="1" applyNumberFormat="1" applyFont="1" applyBorder="1" applyAlignment="1">
      <alignment vertical="center" shrinkToFit="1"/>
    </xf>
    <xf numFmtId="0" fontId="10" fillId="0" borderId="27" xfId="0" applyFont="1" applyBorder="1" applyAlignment="1">
      <alignment horizontal="center" vertical="center" shrinkToFit="1"/>
    </xf>
    <xf numFmtId="0" fontId="10" fillId="0" borderId="27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5" xfId="0" applyNumberFormat="1" applyFont="1" applyBorder="1" applyAlignment="1">
      <alignment vertical="center" shrinkToFit="1"/>
    </xf>
    <xf numFmtId="0" fontId="13" fillId="0" borderId="5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0" fontId="10" fillId="0" borderId="28" xfId="0" applyFont="1" applyBorder="1" applyAlignment="1">
      <alignment vertical="center" shrinkToFit="1"/>
    </xf>
    <xf numFmtId="0" fontId="10" fillId="0" borderId="29" xfId="0" applyFont="1" applyBorder="1" applyAlignment="1">
      <alignment vertical="center" shrinkToFit="1"/>
    </xf>
    <xf numFmtId="179" fontId="13" fillId="0" borderId="29" xfId="0" applyNumberFormat="1" applyFont="1" applyBorder="1" applyAlignment="1">
      <alignment vertical="center" shrinkToFit="1"/>
    </xf>
    <xf numFmtId="176" fontId="10" fillId="0" borderId="29" xfId="0" applyNumberFormat="1" applyFont="1" applyBorder="1" applyAlignment="1">
      <alignment vertical="center" shrinkToFit="1"/>
    </xf>
    <xf numFmtId="0" fontId="10" fillId="0" borderId="29" xfId="0" applyFont="1" applyBorder="1" applyAlignment="1">
      <alignment horizontal="center" vertical="center" shrinkToFit="1"/>
    </xf>
    <xf numFmtId="179" fontId="10" fillId="0" borderId="29" xfId="0" applyNumberFormat="1" applyFont="1" applyBorder="1" applyAlignment="1">
      <alignment vertical="center" shrinkToFit="1"/>
    </xf>
    <xf numFmtId="0" fontId="10" fillId="2" borderId="26" xfId="0" applyFont="1" applyFill="1" applyBorder="1" applyAlignment="1">
      <alignment vertical="center" shrinkToFit="1"/>
    </xf>
    <xf numFmtId="0" fontId="10" fillId="2" borderId="27" xfId="0" applyFont="1" applyFill="1" applyBorder="1" applyAlignment="1">
      <alignment vertical="center" shrinkToFit="1"/>
    </xf>
    <xf numFmtId="180" fontId="13" fillId="2" borderId="27" xfId="0" applyNumberFormat="1" applyFont="1" applyFill="1" applyBorder="1" applyAlignment="1">
      <alignment vertical="center" shrinkToFit="1"/>
    </xf>
    <xf numFmtId="176" fontId="10" fillId="2" borderId="27" xfId="0" applyNumberFormat="1" applyFont="1" applyFill="1" applyBorder="1" applyAlignment="1">
      <alignment vertical="center" shrinkToFit="1"/>
    </xf>
    <xf numFmtId="0" fontId="10" fillId="2" borderId="27" xfId="0" applyFont="1" applyFill="1" applyBorder="1" applyAlignment="1">
      <alignment horizontal="center" vertical="center" shrinkToFit="1"/>
    </xf>
    <xf numFmtId="180" fontId="10" fillId="2" borderId="27" xfId="0" applyNumberFormat="1" applyFont="1" applyFill="1" applyBorder="1" applyAlignment="1">
      <alignment vertical="center" shrinkToFit="1"/>
    </xf>
    <xf numFmtId="0" fontId="10" fillId="0" borderId="20" xfId="0" applyFont="1" applyFill="1" applyBorder="1" applyAlignment="1">
      <alignment vertical="center" shrinkToFit="1"/>
    </xf>
    <xf numFmtId="0" fontId="10" fillId="0" borderId="5" xfId="0" applyFont="1" applyFill="1" applyBorder="1" applyAlignment="1">
      <alignment vertical="center" shrinkToFit="1"/>
    </xf>
    <xf numFmtId="180" fontId="13" fillId="0" borderId="5" xfId="0" applyNumberFormat="1" applyFont="1" applyFill="1" applyBorder="1" applyAlignment="1">
      <alignment vertical="center" shrinkToFit="1"/>
    </xf>
    <xf numFmtId="176" fontId="10" fillId="0" borderId="5" xfId="0" applyNumberFormat="1" applyFont="1" applyFill="1" applyBorder="1" applyAlignment="1">
      <alignment vertical="center" shrinkToFit="1"/>
    </xf>
    <xf numFmtId="0" fontId="10" fillId="0" borderId="5" xfId="0" applyFont="1" applyFill="1" applyBorder="1" applyAlignment="1">
      <alignment horizontal="center" vertical="center" shrinkToFit="1"/>
    </xf>
    <xf numFmtId="180" fontId="10" fillId="0" borderId="5" xfId="0" applyNumberFormat="1" applyFont="1" applyFill="1" applyBorder="1" applyAlignment="1">
      <alignment vertical="center" shrinkToFit="1"/>
    </xf>
    <xf numFmtId="0" fontId="10" fillId="2" borderId="20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180" fontId="13" fillId="2" borderId="5" xfId="0" applyNumberFormat="1" applyFont="1" applyFill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179" fontId="10" fillId="0" borderId="24" xfId="0" applyNumberFormat="1" applyFont="1" applyBorder="1" applyAlignment="1">
      <alignment vertical="center" shrinkToFit="1"/>
    </xf>
    <xf numFmtId="179" fontId="10" fillId="2" borderId="24" xfId="0" applyNumberFormat="1" applyFont="1" applyFill="1" applyBorder="1" applyAlignment="1">
      <alignment vertical="center" shrinkToFit="1"/>
    </xf>
    <xf numFmtId="179" fontId="10" fillId="0" borderId="27" xfId="0" applyNumberFormat="1" applyFont="1" applyBorder="1" applyAlignment="1">
      <alignment vertical="center" shrinkToFit="1"/>
    </xf>
    <xf numFmtId="179" fontId="10" fillId="2" borderId="24" xfId="1" applyNumberFormat="1" applyFont="1" applyFill="1" applyBorder="1" applyAlignment="1">
      <alignment horizontal="center" vertical="center" shrinkToFit="1"/>
    </xf>
    <xf numFmtId="0" fontId="0" fillId="5" borderId="12" xfId="0" applyFill="1" applyBorder="1">
      <alignment vertical="center"/>
    </xf>
    <xf numFmtId="0" fontId="0" fillId="5" borderId="7" xfId="0" applyFill="1" applyBorder="1">
      <alignment vertical="center"/>
    </xf>
    <xf numFmtId="0" fontId="0" fillId="7" borderId="8" xfId="0" applyFill="1" applyBorder="1">
      <alignment vertical="center"/>
    </xf>
    <xf numFmtId="179" fontId="10" fillId="0" borderId="27" xfId="1" applyNumberFormat="1" applyFont="1" applyBorder="1" applyAlignment="1">
      <alignment horizontal="right" vertical="center" shrinkToFit="1"/>
    </xf>
    <xf numFmtId="179" fontId="10" fillId="0" borderId="24" xfId="0" applyNumberFormat="1" applyFont="1" applyBorder="1" applyAlignment="1">
      <alignment horizontal="right" vertical="center" shrinkToFit="1"/>
    </xf>
    <xf numFmtId="179" fontId="10" fillId="2" borderId="24" xfId="0" applyNumberFormat="1" applyFont="1" applyFill="1" applyBorder="1" applyAlignment="1">
      <alignment horizontal="right" vertical="center" shrinkToFit="1"/>
    </xf>
    <xf numFmtId="179" fontId="10" fillId="0" borderId="27" xfId="0" applyNumberFormat="1" applyFont="1" applyBorder="1" applyAlignment="1">
      <alignment horizontal="right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38" fontId="5" fillId="0" borderId="0" xfId="0" applyNumberFormat="1" applyFont="1">
      <alignment vertical="center"/>
    </xf>
    <xf numFmtId="38" fontId="5" fillId="0" borderId="0" xfId="1" applyFont="1">
      <alignment vertical="center"/>
    </xf>
    <xf numFmtId="178" fontId="5" fillId="0" borderId="0" xfId="0" applyNumberFormat="1" applyFont="1" applyAlignment="1">
      <alignment horizontal="center" vertical="center"/>
    </xf>
    <xf numFmtId="176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1" xfId="0" applyNumberFormat="1" applyFont="1" applyBorder="1">
      <alignment vertical="center"/>
    </xf>
    <xf numFmtId="0" fontId="5" fillId="0" borderId="0" xfId="0" applyFont="1" applyAlignment="1">
      <alignment vertical="center" shrinkToFit="1"/>
    </xf>
    <xf numFmtId="38" fontId="5" fillId="0" borderId="1" xfId="1" applyFont="1" applyBorder="1" applyAlignment="1">
      <alignment vertical="center" shrinkToFit="1"/>
    </xf>
    <xf numFmtId="38" fontId="5" fillId="0" borderId="1" xfId="0" applyNumberFormat="1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3" fontId="5" fillId="0" borderId="1" xfId="0" applyNumberFormat="1" applyFont="1" applyBorder="1" applyAlignment="1">
      <alignment vertical="center" shrinkToFit="1"/>
    </xf>
    <xf numFmtId="0" fontId="0" fillId="8" borderId="1" xfId="0" applyFill="1" applyBorder="1" applyAlignment="1">
      <alignment vertical="center" shrinkToFit="1"/>
    </xf>
    <xf numFmtId="0" fontId="5" fillId="9" borderId="1" xfId="0" applyFont="1" applyFill="1" applyBorder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vertical="center" wrapText="1"/>
    </xf>
    <xf numFmtId="0" fontId="9" fillId="0" borderId="0" xfId="0" applyFont="1">
      <alignment vertical="center"/>
    </xf>
    <xf numFmtId="0" fontId="26" fillId="0" borderId="0" xfId="0" applyFont="1">
      <alignment vertical="center"/>
    </xf>
    <xf numFmtId="0" fontId="5" fillId="3" borderId="1" xfId="0" applyFont="1" applyFill="1" applyBorder="1">
      <alignment vertical="center"/>
    </xf>
    <xf numFmtId="0" fontId="5" fillId="11" borderId="1" xfId="0" applyFont="1" applyFill="1" applyBorder="1" applyAlignment="1">
      <alignment horizontal="center" vertical="center"/>
    </xf>
    <xf numFmtId="0" fontId="25" fillId="0" borderId="1" xfId="0" applyFont="1" applyFill="1" applyBorder="1">
      <alignment vertical="center"/>
    </xf>
    <xf numFmtId="10" fontId="25" fillId="0" borderId="1" xfId="0" applyNumberFormat="1" applyFont="1" applyFill="1" applyBorder="1" applyAlignment="1">
      <alignment horizontal="right" vertical="center"/>
    </xf>
    <xf numFmtId="38" fontId="25" fillId="0" borderId="1" xfId="1" applyFont="1" applyFill="1" applyBorder="1" applyAlignment="1">
      <alignment horizontal="right" vertical="center"/>
    </xf>
    <xf numFmtId="38" fontId="25" fillId="0" borderId="1" xfId="1" applyFont="1" applyFill="1" applyBorder="1">
      <alignment vertical="center"/>
    </xf>
    <xf numFmtId="0" fontId="25" fillId="0" borderId="1" xfId="0" applyFont="1" applyFill="1" applyBorder="1" applyAlignment="1">
      <alignment horizontal="right" vertical="center"/>
    </xf>
    <xf numFmtId="180" fontId="10" fillId="2" borderId="27" xfId="0" applyNumberFormat="1" applyFont="1" applyFill="1" applyBorder="1" applyAlignment="1">
      <alignment horizontal="right" vertical="center" shrinkToFit="1"/>
    </xf>
    <xf numFmtId="180" fontId="10" fillId="0" borderId="5" xfId="0" applyNumberFormat="1" applyFont="1" applyFill="1" applyBorder="1" applyAlignment="1">
      <alignment horizontal="right" vertical="center" shrinkToFit="1"/>
    </xf>
    <xf numFmtId="38" fontId="5" fillId="0" borderId="0" xfId="1" applyFont="1" applyBorder="1" applyAlignment="1">
      <alignment vertical="center" shrinkToFit="1"/>
    </xf>
    <xf numFmtId="38" fontId="5" fillId="0" borderId="0" xfId="0" applyNumberFormat="1" applyFont="1" applyBorder="1" applyAlignment="1">
      <alignment vertical="center" shrinkToFit="1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 wrapText="1"/>
    </xf>
    <xf numFmtId="38" fontId="5" fillId="0" borderId="0" xfId="1" applyFont="1" applyFill="1" applyBorder="1" applyAlignment="1">
      <alignment vertical="center" shrinkToFit="1"/>
    </xf>
    <xf numFmtId="0" fontId="27" fillId="0" borderId="0" xfId="0" applyFont="1">
      <alignment vertical="center"/>
    </xf>
    <xf numFmtId="179" fontId="10" fillId="0" borderId="29" xfId="0" applyNumberFormat="1" applyFont="1" applyBorder="1" applyAlignment="1">
      <alignment horizontal="right" vertical="center" shrinkToFit="1"/>
    </xf>
    <xf numFmtId="0" fontId="5" fillId="0" borderId="16" xfId="0" applyFont="1" applyBorder="1">
      <alignment vertical="center"/>
    </xf>
    <xf numFmtId="38" fontId="5" fillId="0" borderId="16" xfId="0" applyNumberFormat="1" applyFont="1" applyBorder="1" applyAlignment="1">
      <alignment vertical="center" shrinkToFit="1"/>
    </xf>
    <xf numFmtId="38" fontId="5" fillId="0" borderId="32" xfId="1" applyFont="1" applyBorder="1" applyAlignment="1">
      <alignment vertical="center" shrinkToFit="1"/>
    </xf>
    <xf numFmtId="38" fontId="5" fillId="0" borderId="16" xfId="1" applyFont="1" applyBorder="1" applyAlignment="1">
      <alignment vertical="center" shrinkToFit="1"/>
    </xf>
    <xf numFmtId="0" fontId="5" fillId="0" borderId="32" xfId="0" applyFont="1" applyBorder="1" applyAlignment="1">
      <alignment vertical="center" shrinkToFit="1"/>
    </xf>
    <xf numFmtId="38" fontId="5" fillId="8" borderId="32" xfId="1" applyFont="1" applyFill="1" applyBorder="1" applyAlignment="1">
      <alignment vertical="center" shrinkToFit="1"/>
    </xf>
    <xf numFmtId="0" fontId="0" fillId="8" borderId="33" xfId="0" applyFill="1" applyBorder="1" applyAlignment="1">
      <alignment vertical="center" shrinkToFit="1"/>
    </xf>
    <xf numFmtId="0" fontId="5" fillId="12" borderId="1" xfId="0" applyFont="1" applyFill="1" applyBorder="1">
      <alignment vertical="center"/>
    </xf>
    <xf numFmtId="0" fontId="5" fillId="12" borderId="1" xfId="0" applyFont="1" applyFill="1" applyBorder="1" applyAlignment="1">
      <alignment vertical="center" shrinkToFit="1"/>
    </xf>
    <xf numFmtId="38" fontId="5" fillId="12" borderId="1" xfId="0" applyNumberFormat="1" applyFont="1" applyFill="1" applyBorder="1">
      <alignment vertical="center"/>
    </xf>
    <xf numFmtId="38" fontId="5" fillId="12" borderId="1" xfId="1" applyFont="1" applyFill="1" applyBorder="1" applyAlignment="1">
      <alignment vertical="center" shrinkToFit="1"/>
    </xf>
    <xf numFmtId="0" fontId="5" fillId="12" borderId="33" xfId="0" applyFont="1" applyFill="1" applyBorder="1">
      <alignment vertical="center"/>
    </xf>
    <xf numFmtId="38" fontId="5" fillId="12" borderId="33" xfId="1" applyFont="1" applyFill="1" applyBorder="1" applyAlignment="1">
      <alignment vertical="center" shrinkToFit="1"/>
    </xf>
    <xf numFmtId="38" fontId="5" fillId="12" borderId="1" xfId="1" applyFont="1" applyFill="1" applyBorder="1">
      <alignment vertical="center"/>
    </xf>
    <xf numFmtId="38" fontId="5" fillId="12" borderId="1" xfId="0" applyNumberFormat="1" applyFont="1" applyFill="1" applyBorder="1" applyAlignment="1">
      <alignment vertical="center" shrinkToFit="1"/>
    </xf>
    <xf numFmtId="3" fontId="5" fillId="12" borderId="1" xfId="0" applyNumberFormat="1" applyFont="1" applyFill="1" applyBorder="1" applyAlignment="1">
      <alignment vertical="center" shrinkToFit="1"/>
    </xf>
    <xf numFmtId="38" fontId="5" fillId="12" borderId="33" xfId="0" applyNumberFormat="1" applyFont="1" applyFill="1" applyBorder="1" applyAlignment="1">
      <alignment vertical="center" shrinkToFit="1"/>
    </xf>
    <xf numFmtId="3" fontId="5" fillId="12" borderId="33" xfId="0" applyNumberFormat="1" applyFont="1" applyFill="1" applyBorder="1" applyAlignment="1">
      <alignment vertical="center" shrinkToFit="1"/>
    </xf>
    <xf numFmtId="38" fontId="5" fillId="12" borderId="30" xfId="1" applyFont="1" applyFill="1" applyBorder="1" applyAlignment="1">
      <alignment vertical="center" shrinkToFit="1"/>
    </xf>
    <xf numFmtId="38" fontId="5" fillId="0" borderId="1" xfId="1" applyFont="1" applyBorder="1" applyAlignment="1">
      <alignment horizontal="right" vertical="center"/>
    </xf>
    <xf numFmtId="38" fontId="5" fillId="12" borderId="1" xfId="1" applyFont="1" applyFill="1" applyBorder="1" applyAlignment="1">
      <alignment horizontal="right" vertical="center"/>
    </xf>
    <xf numFmtId="0" fontId="25" fillId="0" borderId="0" xfId="0" applyFont="1">
      <alignment vertical="center"/>
    </xf>
    <xf numFmtId="0" fontId="25" fillId="12" borderId="1" xfId="0" applyFont="1" applyFill="1" applyBorder="1">
      <alignment vertical="center"/>
    </xf>
    <xf numFmtId="10" fontId="25" fillId="12" borderId="1" xfId="0" applyNumberFormat="1" applyFont="1" applyFill="1" applyBorder="1" applyAlignment="1">
      <alignment horizontal="right" vertical="center"/>
    </xf>
    <xf numFmtId="38" fontId="25" fillId="12" borderId="1" xfId="1" applyFont="1" applyFill="1" applyBorder="1" applyAlignment="1">
      <alignment horizontal="right" vertical="center"/>
    </xf>
    <xf numFmtId="38" fontId="25" fillId="12" borderId="1" xfId="1" applyFont="1" applyFill="1" applyBorder="1">
      <alignment vertical="center"/>
    </xf>
    <xf numFmtId="38" fontId="5" fillId="0" borderId="34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38" fontId="0" fillId="0" borderId="1" xfId="0" applyNumberFormat="1" applyBorder="1">
      <alignment vertical="center"/>
    </xf>
    <xf numFmtId="0" fontId="0" fillId="0" borderId="1" xfId="0" applyBorder="1" applyAlignment="1">
      <alignment vertical="center"/>
    </xf>
    <xf numFmtId="38" fontId="0" fillId="0" borderId="1" xfId="1" applyFont="1" applyBorder="1" applyAlignment="1">
      <alignment vertical="center"/>
    </xf>
    <xf numFmtId="38" fontId="0" fillId="0" borderId="1" xfId="1" applyFont="1" applyBorder="1" applyAlignment="1">
      <alignment vertical="center" shrinkToFit="1"/>
    </xf>
    <xf numFmtId="0" fontId="0" fillId="13" borderId="1" xfId="0" applyFill="1" applyBorder="1">
      <alignment vertical="center"/>
    </xf>
    <xf numFmtId="0" fontId="0" fillId="13" borderId="1" xfId="0" applyFill="1" applyBorder="1" applyAlignment="1">
      <alignment vertical="center" shrinkToFit="1"/>
    </xf>
    <xf numFmtId="3" fontId="0" fillId="13" borderId="1" xfId="0" applyNumberFormat="1" applyFill="1" applyBorder="1" applyAlignment="1">
      <alignment vertical="center" shrinkToFit="1"/>
    </xf>
    <xf numFmtId="38" fontId="0" fillId="0" borderId="1" xfId="0" applyNumberFormat="1" applyBorder="1" applyAlignment="1">
      <alignment vertical="center" shrinkToFit="1"/>
    </xf>
    <xf numFmtId="3" fontId="0" fillId="0" borderId="1" xfId="0" applyNumberFormat="1" applyBorder="1" applyAlignment="1">
      <alignment vertical="center" shrinkToFit="1"/>
    </xf>
    <xf numFmtId="0" fontId="0" fillId="0" borderId="2" xfId="0" applyBorder="1">
      <alignment vertical="center"/>
    </xf>
    <xf numFmtId="3" fontId="0" fillId="0" borderId="2" xfId="0" applyNumberFormat="1" applyBorder="1">
      <alignment vertical="center"/>
    </xf>
    <xf numFmtId="3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29" fillId="0" borderId="0" xfId="0" applyFont="1">
      <alignment vertical="center"/>
    </xf>
    <xf numFmtId="38" fontId="28" fillId="0" borderId="1" xfId="1" applyFont="1" applyFill="1" applyBorder="1" applyAlignment="1">
      <alignment horizontal="right" vertical="center"/>
    </xf>
    <xf numFmtId="38" fontId="28" fillId="12" borderId="1" xfId="1" applyFont="1" applyFill="1" applyBorder="1" applyAlignment="1">
      <alignment horizontal="right" vertical="center"/>
    </xf>
    <xf numFmtId="38" fontId="31" fillId="0" borderId="1" xfId="1" applyFont="1" applyFill="1" applyBorder="1" applyAlignment="1">
      <alignment horizontal="right" vertical="center"/>
    </xf>
    <xf numFmtId="38" fontId="31" fillId="12" borderId="1" xfId="1" applyFont="1" applyFill="1" applyBorder="1" applyAlignment="1">
      <alignment horizontal="right" vertical="center"/>
    </xf>
    <xf numFmtId="0" fontId="30" fillId="3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0" fontId="33" fillId="10" borderId="1" xfId="0" applyFont="1" applyFill="1" applyBorder="1" applyAlignment="1">
      <alignment horizontal="center" vertical="center"/>
    </xf>
    <xf numFmtId="38" fontId="30" fillId="0" borderId="1" xfId="1" applyFont="1" applyBorder="1">
      <alignment vertical="center"/>
    </xf>
    <xf numFmtId="38" fontId="30" fillId="12" borderId="1" xfId="1" applyFont="1" applyFill="1" applyBorder="1">
      <alignment vertical="center"/>
    </xf>
    <xf numFmtId="38" fontId="33" fillId="0" borderId="1" xfId="1" applyFont="1" applyBorder="1">
      <alignment vertical="center"/>
    </xf>
    <xf numFmtId="38" fontId="33" fillId="12" borderId="1" xfId="1" applyFont="1" applyFill="1" applyBorder="1">
      <alignment vertical="center"/>
    </xf>
    <xf numFmtId="0" fontId="12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3" fontId="8" fillId="5" borderId="6" xfId="0" applyNumberFormat="1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horizontal="center" vertical="center"/>
    </xf>
    <xf numFmtId="3" fontId="8" fillId="3" borderId="7" xfId="0" applyNumberFormat="1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3" fontId="8" fillId="7" borderId="7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38" fontId="0" fillId="0" borderId="2" xfId="1" applyFont="1" applyBorder="1" applyAlignment="1" applyProtection="1">
      <alignment horizontal="right" vertical="center" shrinkToFit="1"/>
      <protection locked="0"/>
    </xf>
    <xf numFmtId="38" fontId="0" fillId="0" borderId="3" xfId="1" applyFont="1" applyBorder="1" applyAlignment="1" applyProtection="1">
      <alignment horizontal="right" vertical="center" shrinkToFit="1"/>
      <protection locked="0"/>
    </xf>
    <xf numFmtId="38" fontId="0" fillId="0" borderId="4" xfId="1" applyFont="1" applyBorder="1" applyAlignment="1" applyProtection="1">
      <alignment horizontal="right" vertical="center" shrinkToFit="1"/>
      <protection locked="0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38" fontId="11" fillId="5" borderId="11" xfId="1" applyFont="1" applyFill="1" applyBorder="1" applyAlignment="1">
      <alignment horizontal="right" vertical="center" indent="1"/>
    </xf>
    <xf numFmtId="38" fontId="11" fillId="5" borderId="7" xfId="1" applyFont="1" applyFill="1" applyBorder="1" applyAlignment="1">
      <alignment horizontal="right" vertical="center" indent="1"/>
    </xf>
    <xf numFmtId="38" fontId="11" fillId="3" borderId="11" xfId="1" applyFont="1" applyFill="1" applyBorder="1" applyAlignment="1">
      <alignment horizontal="right" vertical="center" indent="1"/>
    </xf>
    <xf numFmtId="38" fontId="11" fillId="3" borderId="7" xfId="1" applyFont="1" applyFill="1" applyBorder="1" applyAlignment="1">
      <alignment horizontal="right" vertical="center" indent="1"/>
    </xf>
    <xf numFmtId="38" fontId="11" fillId="7" borderId="11" xfId="1" applyFont="1" applyFill="1" applyBorder="1" applyAlignment="1">
      <alignment horizontal="right" vertical="center" indent="1"/>
    </xf>
    <xf numFmtId="38" fontId="11" fillId="7" borderId="7" xfId="1" applyFont="1" applyFill="1" applyBorder="1" applyAlignment="1">
      <alignment horizontal="right" vertical="center" indent="1"/>
    </xf>
    <xf numFmtId="0" fontId="10" fillId="0" borderId="13" xfId="0" applyFont="1" applyBorder="1" applyAlignment="1">
      <alignment horizontal="center" vertical="center" textRotation="255"/>
    </xf>
    <xf numFmtId="0" fontId="8" fillId="0" borderId="14" xfId="0" applyFont="1" applyBorder="1" applyAlignment="1">
      <alignment horizontal="center" vertical="center"/>
    </xf>
    <xf numFmtId="38" fontId="19" fillId="0" borderId="6" xfId="1" applyFont="1" applyBorder="1" applyAlignment="1">
      <alignment horizontal="right" vertical="center" indent="1"/>
    </xf>
    <xf numFmtId="38" fontId="19" fillId="0" borderId="7" xfId="1" applyFont="1" applyBorder="1" applyAlignment="1">
      <alignment horizontal="right" vertical="center" indent="1"/>
    </xf>
    <xf numFmtId="38" fontId="11" fillId="0" borderId="2" xfId="1" applyFont="1" applyBorder="1" applyAlignment="1">
      <alignment horizontal="right" vertical="center" indent="1"/>
    </xf>
    <xf numFmtId="38" fontId="11" fillId="0" borderId="3" xfId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8" fontId="8" fillId="5" borderId="2" xfId="0" applyNumberFormat="1" applyFont="1" applyFill="1" applyBorder="1" applyAlignment="1">
      <alignment horizontal="right" vertical="center" indent="1"/>
    </xf>
    <xf numFmtId="0" fontId="8" fillId="5" borderId="3" xfId="0" applyFont="1" applyFill="1" applyBorder="1" applyAlignment="1">
      <alignment horizontal="right" vertical="center" indent="1"/>
    </xf>
    <xf numFmtId="38" fontId="8" fillId="3" borderId="2" xfId="0" applyNumberFormat="1" applyFont="1" applyFill="1" applyBorder="1" applyAlignment="1">
      <alignment horizontal="right" vertical="center" indent="1"/>
    </xf>
    <xf numFmtId="0" fontId="8" fillId="3" borderId="3" xfId="0" applyFont="1" applyFill="1" applyBorder="1" applyAlignment="1">
      <alignment horizontal="right" vertical="center" indent="1"/>
    </xf>
    <xf numFmtId="38" fontId="8" fillId="7" borderId="2" xfId="0" applyNumberFormat="1" applyFont="1" applyFill="1" applyBorder="1" applyAlignment="1">
      <alignment horizontal="right" vertical="center" indent="1"/>
    </xf>
    <xf numFmtId="0" fontId="8" fillId="7" borderId="3" xfId="0" applyFont="1" applyFill="1" applyBorder="1" applyAlignment="1">
      <alignment horizontal="right" vertical="center" indent="1"/>
    </xf>
    <xf numFmtId="0" fontId="8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 indent="1"/>
    </xf>
    <xf numFmtId="0" fontId="13" fillId="0" borderId="3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179" fontId="22" fillId="0" borderId="3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179" fontId="18" fillId="0" borderId="3" xfId="0" applyNumberFormat="1" applyFont="1" applyBorder="1" applyAlignment="1">
      <alignment horizontal="right" vertical="center"/>
    </xf>
    <xf numFmtId="179" fontId="18" fillId="0" borderId="4" xfId="0" applyNumberFormat="1" applyFont="1" applyBorder="1" applyAlignment="1">
      <alignment horizontal="right" vertical="center"/>
    </xf>
    <xf numFmtId="0" fontId="13" fillId="2" borderId="27" xfId="0" applyFont="1" applyFill="1" applyBorder="1" applyAlignment="1">
      <alignment horizontal="right" vertical="center" shrinkToFit="1"/>
    </xf>
    <xf numFmtId="0" fontId="13" fillId="0" borderId="25" xfId="0" applyFont="1" applyFill="1" applyBorder="1" applyAlignment="1">
      <alignment horizontal="right" vertical="center" shrinkToFit="1"/>
    </xf>
    <xf numFmtId="0" fontId="13" fillId="2" borderId="25" xfId="0" applyFont="1" applyFill="1" applyBorder="1" applyAlignment="1">
      <alignment horizontal="right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38" fontId="18" fillId="0" borderId="17" xfId="1" applyFont="1" applyBorder="1" applyAlignment="1">
      <alignment horizontal="right" vertical="center" shrinkToFit="1"/>
    </xf>
    <xf numFmtId="38" fontId="18" fillId="0" borderId="5" xfId="1" applyFont="1" applyBorder="1" applyAlignment="1">
      <alignment horizontal="right" vertical="center" shrinkToFit="1"/>
    </xf>
    <xf numFmtId="0" fontId="10" fillId="0" borderId="17" xfId="0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5" xfId="0" applyFont="1" applyBorder="1" applyAlignment="1">
      <alignment horizontal="left" vertical="center" shrinkToFit="1"/>
    </xf>
    <xf numFmtId="0" fontId="10" fillId="0" borderId="21" xfId="0" applyFont="1" applyBorder="1" applyAlignment="1">
      <alignment horizontal="left" vertical="center" shrinkToFit="1"/>
    </xf>
    <xf numFmtId="179" fontId="22" fillId="0" borderId="3" xfId="1" applyNumberFormat="1" applyFont="1" applyBorder="1" applyAlignment="1">
      <alignment horizontal="right" vertical="center" shrinkToFit="1"/>
    </xf>
    <xf numFmtId="0" fontId="21" fillId="0" borderId="3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3" fillId="0" borderId="17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38" fontId="18" fillId="0" borderId="0" xfId="1" applyFont="1" applyBorder="1" applyAlignment="1">
      <alignment horizontal="right" vertical="center" shrinkToFit="1"/>
    </xf>
    <xf numFmtId="0" fontId="10" fillId="0" borderId="0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179" fontId="13" fillId="6" borderId="22" xfId="1" applyNumberFormat="1" applyFont="1" applyFill="1" applyBorder="1" applyAlignment="1">
      <alignment horizontal="right" vertical="center" shrinkToFit="1"/>
    </xf>
    <xf numFmtId="179" fontId="13" fillId="6" borderId="16" xfId="1" applyNumberFormat="1" applyFont="1" applyFill="1" applyBorder="1" applyAlignment="1">
      <alignment horizontal="right" vertical="center" shrinkToFit="1"/>
    </xf>
    <xf numFmtId="10" fontId="10" fillId="4" borderId="15" xfId="0" applyNumberFormat="1" applyFont="1" applyFill="1" applyBorder="1" applyAlignment="1">
      <alignment horizontal="center" vertical="center" shrinkToFit="1"/>
    </xf>
    <xf numFmtId="10" fontId="10" fillId="4" borderId="22" xfId="0" applyNumberFormat="1" applyFont="1" applyFill="1" applyBorder="1" applyAlignment="1">
      <alignment horizontal="center" vertical="center" shrinkToFit="1"/>
    </xf>
    <xf numFmtId="10" fontId="10" fillId="4" borderId="16" xfId="0" applyNumberFormat="1" applyFont="1" applyFill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4" borderId="16" xfId="0" applyFont="1" applyFill="1" applyBorder="1" applyAlignment="1">
      <alignment horizontal="center" vertical="center" shrinkToFit="1"/>
    </xf>
    <xf numFmtId="0" fontId="13" fillId="7" borderId="2" xfId="0" applyFont="1" applyFill="1" applyBorder="1" applyAlignment="1">
      <alignment horizontal="left" vertical="center" shrinkToFit="1"/>
    </xf>
    <xf numFmtId="0" fontId="13" fillId="7" borderId="3" xfId="0" applyFont="1" applyFill="1" applyBorder="1" applyAlignment="1">
      <alignment horizontal="left" vertical="center" shrinkToFit="1"/>
    </xf>
    <xf numFmtId="0" fontId="13" fillId="7" borderId="4" xfId="0" applyFont="1" applyFill="1" applyBorder="1" applyAlignment="1">
      <alignment horizontal="left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13" fillId="5" borderId="22" xfId="0" applyFont="1" applyFill="1" applyBorder="1" applyAlignment="1">
      <alignment horizontal="center" vertical="center" shrinkToFit="1"/>
    </xf>
    <xf numFmtId="0" fontId="13" fillId="5" borderId="16" xfId="0" applyFont="1" applyFill="1" applyBorder="1" applyAlignment="1">
      <alignment horizontal="center" vertical="center" shrinkToFit="1"/>
    </xf>
    <xf numFmtId="0" fontId="13" fillId="5" borderId="2" xfId="0" applyFont="1" applyFill="1" applyBorder="1" applyAlignment="1">
      <alignment horizontal="left" vertical="center" shrinkToFit="1"/>
    </xf>
    <xf numFmtId="0" fontId="13" fillId="5" borderId="5" xfId="0" applyFont="1" applyFill="1" applyBorder="1" applyAlignment="1">
      <alignment horizontal="left" vertical="center" shrinkToFit="1"/>
    </xf>
    <xf numFmtId="0" fontId="13" fillId="5" borderId="21" xfId="0" applyFont="1" applyFill="1" applyBorder="1" applyAlignment="1">
      <alignment horizontal="left" vertical="center" shrinkToFit="1"/>
    </xf>
    <xf numFmtId="0" fontId="13" fillId="3" borderId="15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left" vertical="center" shrinkToFit="1"/>
    </xf>
    <xf numFmtId="0" fontId="13" fillId="3" borderId="3" xfId="0" applyFont="1" applyFill="1" applyBorder="1" applyAlignment="1">
      <alignment horizontal="left" vertical="center" shrinkToFit="1"/>
    </xf>
    <xf numFmtId="0" fontId="13" fillId="3" borderId="21" xfId="0" applyFont="1" applyFill="1" applyBorder="1" applyAlignment="1">
      <alignment horizontal="left" vertical="center" shrinkToFit="1"/>
    </xf>
    <xf numFmtId="0" fontId="13" fillId="7" borderId="15" xfId="0" applyFont="1" applyFill="1" applyBorder="1" applyAlignment="1">
      <alignment horizontal="center" vertical="center" shrinkToFit="1"/>
    </xf>
    <xf numFmtId="0" fontId="13" fillId="7" borderId="22" xfId="0" applyFont="1" applyFill="1" applyBorder="1" applyAlignment="1">
      <alignment horizontal="center" vertical="center" shrinkToFit="1"/>
    </xf>
    <xf numFmtId="0" fontId="13" fillId="7" borderId="16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5" fillId="10" borderId="15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/>
    </xf>
    <xf numFmtId="0" fontId="5" fillId="10" borderId="32" xfId="0" applyFont="1" applyFill="1" applyBorder="1" applyAlignment="1">
      <alignment horizontal="center" vertical="center"/>
    </xf>
    <xf numFmtId="0" fontId="24" fillId="11" borderId="30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 wrapText="1"/>
    </xf>
    <xf numFmtId="0" fontId="24" fillId="10" borderId="30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/>
    </xf>
    <xf numFmtId="0" fontId="5" fillId="11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shrinkToFit="1"/>
    </xf>
    <xf numFmtId="0" fontId="0" fillId="12" borderId="1" xfId="0" applyFill="1" applyBorder="1" applyAlignment="1">
      <alignment horizontal="left" vertical="center" shrinkToFit="1"/>
    </xf>
    <xf numFmtId="0" fontId="2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0" borderId="15" xfId="0" applyFont="1" applyFill="1" applyBorder="1" applyAlignment="1">
      <alignment horizontal="left" vertical="center" wrapText="1"/>
    </xf>
    <xf numFmtId="0" fontId="5" fillId="10" borderId="16" xfId="0" applyFont="1" applyFill="1" applyBorder="1" applyAlignment="1">
      <alignment horizontal="left" vertical="center" wrapText="1"/>
    </xf>
    <xf numFmtId="0" fontId="5" fillId="11" borderId="15" xfId="0" applyFont="1" applyFill="1" applyBorder="1" applyAlignment="1">
      <alignment horizontal="left" vertical="center" wrapText="1"/>
    </xf>
    <xf numFmtId="0" fontId="5" fillId="11" borderId="16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1" borderId="31" xfId="0" applyFont="1" applyFill="1" applyBorder="1" applyAlignment="1">
      <alignment horizontal="center" vertical="center"/>
    </xf>
    <xf numFmtId="0" fontId="5" fillId="11" borderId="32" xfId="0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13" borderId="1" xfId="0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8" fillId="13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13" borderId="2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  <color rgb="FFE0B4DB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7284</xdr:colOff>
      <xdr:row>0</xdr:row>
      <xdr:rowOff>44824</xdr:rowOff>
    </xdr:from>
    <xdr:to>
      <xdr:col>39</xdr:col>
      <xdr:colOff>123264</xdr:colOff>
      <xdr:row>2</xdr:row>
      <xdr:rowOff>14328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64166" y="44824"/>
          <a:ext cx="7814422" cy="440151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メイリオ" pitchFamily="50" charset="-128"/>
              <a:ea typeface="メイリオ" pitchFamily="50" charset="-128"/>
              <a:cs typeface="メイリオ" pitchFamily="50" charset="-128"/>
            </a:rPr>
            <a:t>令和７年度　大野城市　国民健康保険税の試算シート</a:t>
          </a:r>
        </a:p>
      </xdr:txBody>
    </xdr:sp>
    <xdr:clientData/>
  </xdr:twoCellAnchor>
  <xdr:twoCellAnchor>
    <xdr:from>
      <xdr:col>1</xdr:col>
      <xdr:colOff>3641</xdr:colOff>
      <xdr:row>2</xdr:row>
      <xdr:rowOff>109579</xdr:rowOff>
    </xdr:from>
    <xdr:to>
      <xdr:col>37</xdr:col>
      <xdr:colOff>94368</xdr:colOff>
      <xdr:row>4</xdr:row>
      <xdr:rowOff>17850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16553" y="557814"/>
          <a:ext cx="7559448" cy="356507"/>
        </a:xfrm>
        <a:prstGeom prst="rect">
          <a:avLst/>
        </a:prstGeom>
        <a:solidFill>
          <a:srgbClr val="FFFFFF"/>
        </a:solidFill>
        <a:ln w="9525">
          <a:noFill/>
          <a:prstDash val="dash"/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この計算シートでは、おおよその年間保険税と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ヶ月あたりの保険税の計算ができます。</a:t>
          </a:r>
          <a:endParaRPr lang="en-US" altLang="ja-JP" sz="105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5771</xdr:colOff>
      <xdr:row>4</xdr:row>
      <xdr:rowOff>95410</xdr:rowOff>
    </xdr:from>
    <xdr:to>
      <xdr:col>8</xdr:col>
      <xdr:colOff>44825</xdr:colOff>
      <xdr:row>6</xdr:row>
      <xdr:rowOff>152000</xdr:rowOff>
    </xdr:to>
    <xdr:sp macro="" textlink="">
      <xdr:nvSpPr>
        <xdr:cNvPr id="52" name="角丸四角形 2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62653" y="969469"/>
          <a:ext cx="1406172" cy="527237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年齢区分</a:t>
          </a:r>
        </a:p>
      </xdr:txBody>
    </xdr:sp>
    <xdr:clientData/>
  </xdr:twoCellAnchor>
  <xdr:twoCellAnchor>
    <xdr:from>
      <xdr:col>1</xdr:col>
      <xdr:colOff>6394</xdr:colOff>
      <xdr:row>6</xdr:row>
      <xdr:rowOff>190101</xdr:rowOff>
    </xdr:from>
    <xdr:to>
      <xdr:col>8</xdr:col>
      <xdr:colOff>56030</xdr:colOff>
      <xdr:row>9</xdr:row>
      <xdr:rowOff>201707</xdr:rowOff>
    </xdr:to>
    <xdr:sp macro="" textlink="">
      <xdr:nvSpPr>
        <xdr:cNvPr id="53" name="角丸四角形 2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63276" y="1534807"/>
          <a:ext cx="1416754" cy="717576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 u="sng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収入金額等</a:t>
          </a:r>
          <a:endParaRPr lang="ja-JP" altLang="ja-JP" sz="1100" u="sng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</xdr:col>
      <xdr:colOff>15676</xdr:colOff>
      <xdr:row>9</xdr:row>
      <xdr:rowOff>223880</xdr:rowOff>
    </xdr:from>
    <xdr:to>
      <xdr:col>8</xdr:col>
      <xdr:colOff>78442</xdr:colOff>
      <xdr:row>13</xdr:row>
      <xdr:rowOff>212910</xdr:rowOff>
    </xdr:to>
    <xdr:sp macro="" textlink="">
      <xdr:nvSpPr>
        <xdr:cNvPr id="54" name="角丸四角形 25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72558" y="2274556"/>
          <a:ext cx="1429884" cy="930325"/>
        </a:xfrm>
        <a:prstGeom prst="round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非自発的失業者</a:t>
          </a:r>
        </a:p>
      </xdr:txBody>
    </xdr:sp>
    <xdr:clientData/>
  </xdr:twoCellAnchor>
  <xdr:twoCellAnchor>
    <xdr:from>
      <xdr:col>8</xdr:col>
      <xdr:colOff>89647</xdr:colOff>
      <xdr:row>4</xdr:row>
      <xdr:rowOff>95410</xdr:rowOff>
    </xdr:from>
    <xdr:to>
      <xdr:col>39</xdr:col>
      <xdr:colOff>134470</xdr:colOff>
      <xdr:row>6</xdr:row>
      <xdr:rowOff>152000</xdr:rowOff>
    </xdr:to>
    <xdr:sp macro="" textlink="">
      <xdr:nvSpPr>
        <xdr:cNvPr id="55" name="角丸四角形 2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613647" y="969469"/>
          <a:ext cx="6376147" cy="527237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100"/>
            </a:lnSpc>
          </a:pPr>
          <a:r>
            <a:rPr lang="ja-JP" altLang="ja-JP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「加入しない」、又は加入される方の年齢区分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が「未就学児」、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小学生から３９歳まで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」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「４０歳から６４歳まで」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「６５歳から７４歳まで」</a:t>
          </a:r>
          <a:r>
            <a:rPr lang="ja-JP" altLang="en-US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、「７５歳以上」</a:t>
          </a:r>
          <a:r>
            <a:rPr lang="ja-JP" altLang="ja-JP" sz="1000" b="0" i="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を選択してください。</a:t>
          </a:r>
          <a:endParaRPr kumimoji="1" lang="ja-JP" altLang="ja-JP" sz="10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8</xdr:col>
      <xdr:colOff>100853</xdr:colOff>
      <xdr:row>6</xdr:row>
      <xdr:rowOff>199625</xdr:rowOff>
    </xdr:from>
    <xdr:to>
      <xdr:col>39</xdr:col>
      <xdr:colOff>112058</xdr:colOff>
      <xdr:row>9</xdr:row>
      <xdr:rowOff>190500</xdr:rowOff>
    </xdr:to>
    <xdr:sp macro="" textlink="">
      <xdr:nvSpPr>
        <xdr:cNvPr id="56" name="角丸四角形 2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624853" y="1544331"/>
          <a:ext cx="6342529" cy="696845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世帯主及び加入される方の令和６年中の収入金額等を入力してください。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世帯主については、加入されない場合でも必ず入力してください。</a:t>
          </a:r>
          <a:endParaRPr lang="en-US" altLang="ja-JP" sz="10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給与・年金については</a:t>
          </a:r>
          <a:r>
            <a:rPr lang="ja-JP" altLang="en-US" sz="1000" b="0" i="0" u="dbl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収入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金額を，その他所得（営業，不動産所得等）がある方はその他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所得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に入力してください。</a:t>
          </a:r>
        </a:p>
      </xdr:txBody>
    </xdr:sp>
    <xdr:clientData/>
  </xdr:twoCellAnchor>
  <xdr:twoCellAnchor>
    <xdr:from>
      <xdr:col>8</xdr:col>
      <xdr:colOff>100853</xdr:colOff>
      <xdr:row>10</xdr:row>
      <xdr:rowOff>14888</xdr:rowOff>
    </xdr:from>
    <xdr:to>
      <xdr:col>39</xdr:col>
      <xdr:colOff>112058</xdr:colOff>
      <xdr:row>13</xdr:row>
      <xdr:rowOff>201704</xdr:rowOff>
    </xdr:to>
    <xdr:sp macro="" textlink="">
      <xdr:nvSpPr>
        <xdr:cNvPr id="57" name="角丸四角形 2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624853" y="2300888"/>
          <a:ext cx="6342529" cy="892787"/>
        </a:xfrm>
        <a:prstGeom prst="roundRect">
          <a:avLst>
            <a:gd name="adj" fmla="val 0"/>
          </a:avLst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前年中の所得に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給与所得がある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方で離職日時点での年齢が６４歳以下、かつ離職理由が倒産、解雇、雇い止めなどによる方は、保険税の軽減制度に該当する可能性があります。軽減に該当した場合の税額を試算する場合は、□に○を選択してください。制度の詳細については、市ホームページに掲載しています。</a:t>
          </a:r>
        </a:p>
      </xdr:txBody>
    </xdr:sp>
    <xdr:clientData/>
  </xdr:twoCellAnchor>
  <xdr:twoCellAnchor>
    <xdr:from>
      <xdr:col>0</xdr:col>
      <xdr:colOff>56029</xdr:colOff>
      <xdr:row>45</xdr:row>
      <xdr:rowOff>62834</xdr:rowOff>
    </xdr:from>
    <xdr:to>
      <xdr:col>39</xdr:col>
      <xdr:colOff>74037</xdr:colOff>
      <xdr:row>60</xdr:row>
      <xdr:rowOff>112059</xdr:rowOff>
    </xdr:to>
    <xdr:sp macro="" textlink="">
      <xdr:nvSpPr>
        <xdr:cNvPr id="58" name="角丸四角形 2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6029" y="11089422"/>
          <a:ext cx="7873332" cy="3579078"/>
        </a:xfrm>
        <a:prstGeom prst="roundRect">
          <a:avLst>
            <a:gd name="adj" fmla="val 4657"/>
          </a:avLst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333333"/>
            </a:solidFill>
            <a:latin typeface="Calibri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333333"/>
            </a:solidFill>
            <a:latin typeface="Calibri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050" b="0" i="0" u="none" strike="noStrike" baseline="0">
            <a:solidFill>
              <a:srgbClr val="333333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※上記結果はあくまでも試算であり、実際の保険税額と異なる場合があります。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※年度の途中に</a:t>
          </a:r>
          <a:r>
            <a:rPr lang="ja-JP" altLang="en-US" sz="1050" b="0" i="0" u="sng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加入者の所得</a:t>
          </a: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や</a:t>
          </a:r>
          <a:r>
            <a:rPr lang="ja-JP" altLang="en-US" sz="1050" b="0" i="0" u="sng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加入人数</a:t>
          </a: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が変わる場合は、このシートでは正しく計算できません。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※次のいずれかの項目に該当する場合は、このシートでは正しく計算できません。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（１）年度の途中に加入者が４０歳に到達し、介護保険第２号被保険者となる場合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（２）年度の途中に加入者が６５歳に到達し、介護保険第２号被保険者でなくなる（介護保険第１号被保険者となる）場合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（３）年度の途中に加入者が後期高齢者医療制度に加入し、残った国民健康保険の加入者が１人となる場合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（４）専従者給与がある場合</a:t>
          </a: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（５）専従者控除を必要経費に算入している場合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333333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（６）総所得金額に分離課税所得（土地・株式等の譲渡所得等）がある場合</a:t>
          </a:r>
        </a:p>
      </xdr:txBody>
    </xdr:sp>
    <xdr:clientData/>
  </xdr:twoCellAnchor>
  <xdr:twoCellAnchor editAs="oneCell">
    <xdr:from>
      <xdr:col>1</xdr:col>
      <xdr:colOff>54429</xdr:colOff>
      <xdr:row>45</xdr:row>
      <xdr:rowOff>169290</xdr:rowOff>
    </xdr:from>
    <xdr:to>
      <xdr:col>3</xdr:col>
      <xdr:colOff>1032</xdr:colOff>
      <xdr:row>47</xdr:row>
      <xdr:rowOff>56879</xdr:rowOff>
    </xdr:to>
    <xdr:pic>
      <xdr:nvPicPr>
        <xdr:cNvPr id="59" name="図 30" descr="error_mark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311" y="11195878"/>
          <a:ext cx="371195" cy="3734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66476</xdr:colOff>
      <xdr:row>45</xdr:row>
      <xdr:rowOff>189059</xdr:rowOff>
    </xdr:from>
    <xdr:ext cx="1104900" cy="275717"/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660388" y="11215647"/>
          <a:ext cx="110490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</a:p>
      </xdr:txBody>
    </xdr:sp>
    <xdr:clientData/>
  </xdr:oneCellAnchor>
  <xdr:twoCellAnchor>
    <xdr:from>
      <xdr:col>8</xdr:col>
      <xdr:colOff>74838</xdr:colOff>
      <xdr:row>29</xdr:row>
      <xdr:rowOff>27215</xdr:rowOff>
    </xdr:from>
    <xdr:to>
      <xdr:col>9</xdr:col>
      <xdr:colOff>99331</xdr:colOff>
      <xdr:row>29</xdr:row>
      <xdr:rowOff>272142</xdr:rowOff>
    </xdr:to>
    <xdr:grpSp>
      <xdr:nvGrpSpPr>
        <xdr:cNvPr id="62" name="Group 1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1598838" y="7210186"/>
          <a:ext cx="282228" cy="244927"/>
          <a:chOff x="135" y="487"/>
          <a:chExt cx="29" cy="24"/>
        </a:xfrm>
      </xdr:grpSpPr>
      <xdr:sp macro="" textlink="">
        <xdr:nvSpPr>
          <xdr:cNvPr id="63" name="Oval 9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 noChangeArrowheads="1"/>
          </xdr:cNvSpPr>
        </xdr:nvSpPr>
        <xdr:spPr bwMode="auto">
          <a:xfrm>
            <a:off x="135" y="487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4" name="Text Box 10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487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  <xdr:twoCellAnchor>
    <xdr:from>
      <xdr:col>15</xdr:col>
      <xdr:colOff>54431</xdr:colOff>
      <xdr:row>29</xdr:row>
      <xdr:rowOff>40825</xdr:rowOff>
    </xdr:from>
    <xdr:to>
      <xdr:col>16</xdr:col>
      <xdr:colOff>119745</xdr:colOff>
      <xdr:row>29</xdr:row>
      <xdr:rowOff>272600</xdr:rowOff>
    </xdr:to>
    <xdr:grpSp>
      <xdr:nvGrpSpPr>
        <xdr:cNvPr id="65" name="Group 18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>
          <a:grpSpLocks/>
        </xdr:cNvGrpSpPr>
      </xdr:nvGrpSpPr>
      <xdr:grpSpPr bwMode="auto">
        <a:xfrm>
          <a:off x="3001578" y="7223796"/>
          <a:ext cx="278226" cy="231775"/>
          <a:chOff x="248" y="493"/>
          <a:chExt cx="29" cy="24"/>
        </a:xfrm>
      </xdr:grpSpPr>
      <xdr:sp macro="" textlink="">
        <xdr:nvSpPr>
          <xdr:cNvPr id="66" name="Oval 13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7" name="Text Box 1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</xdr:grpSp>
    <xdr:clientData/>
  </xdr:twoCellAnchor>
  <xdr:twoCellAnchor>
    <xdr:from>
      <xdr:col>22</xdr:col>
      <xdr:colOff>54430</xdr:colOff>
      <xdr:row>29</xdr:row>
      <xdr:rowOff>40824</xdr:rowOff>
    </xdr:from>
    <xdr:to>
      <xdr:col>23</xdr:col>
      <xdr:colOff>119745</xdr:colOff>
      <xdr:row>29</xdr:row>
      <xdr:rowOff>272599</xdr:rowOff>
    </xdr:to>
    <xdr:grpSp>
      <xdr:nvGrpSpPr>
        <xdr:cNvPr id="68" name="Group 1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4447136" y="7223795"/>
          <a:ext cx="278227" cy="231775"/>
          <a:chOff x="248" y="493"/>
          <a:chExt cx="29" cy="24"/>
        </a:xfrm>
      </xdr:grpSpPr>
      <xdr:sp macro="" textlink="">
        <xdr:nvSpPr>
          <xdr:cNvPr id="69" name="Oval 13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0" name="Text Box 14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</xdr:grpSp>
    <xdr:clientData/>
  </xdr:twoCellAnchor>
  <xdr:twoCellAnchor>
    <xdr:from>
      <xdr:col>29</xdr:col>
      <xdr:colOff>95251</xdr:colOff>
      <xdr:row>37</xdr:row>
      <xdr:rowOff>102054</xdr:rowOff>
    </xdr:from>
    <xdr:to>
      <xdr:col>30</xdr:col>
      <xdr:colOff>157843</xdr:colOff>
      <xdr:row>37</xdr:row>
      <xdr:rowOff>330654</xdr:rowOff>
    </xdr:to>
    <xdr:grpSp>
      <xdr:nvGrpSpPr>
        <xdr:cNvPr id="71" name="Group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GrpSpPr>
          <a:grpSpLocks/>
        </xdr:cNvGrpSpPr>
      </xdr:nvGrpSpPr>
      <xdr:grpSpPr bwMode="auto">
        <a:xfrm>
          <a:off x="5866280" y="9447760"/>
          <a:ext cx="275504" cy="228600"/>
          <a:chOff x="248" y="493"/>
          <a:chExt cx="29" cy="24"/>
        </a:xfrm>
      </xdr:grpSpPr>
      <xdr:sp macro="" textlink="">
        <xdr:nvSpPr>
          <xdr:cNvPr id="72" name="Oval 33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3" name="Text Box 3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＝</a:t>
            </a:r>
          </a:p>
        </xdr:txBody>
      </xdr:sp>
    </xdr:grpSp>
    <xdr:clientData/>
  </xdr:twoCellAnchor>
  <xdr:twoCellAnchor editAs="oneCell">
    <xdr:from>
      <xdr:col>16</xdr:col>
      <xdr:colOff>210911</xdr:colOff>
      <xdr:row>13</xdr:row>
      <xdr:rowOff>340178</xdr:rowOff>
    </xdr:from>
    <xdr:to>
      <xdr:col>32</xdr:col>
      <xdr:colOff>115661</xdr:colOff>
      <xdr:row>15</xdr:row>
      <xdr:rowOff>136889</xdr:rowOff>
    </xdr:to>
    <xdr:sp macro="" textlink="">
      <xdr:nvSpPr>
        <xdr:cNvPr id="28" name="テキスト ボックス 52">
          <a:extLst>
            <a:ext uri="{FF2B5EF4-FFF2-40B4-BE49-F238E27FC236}">
              <a16:creationId xmlns:a16="http://schemas.microsoft.com/office/drawing/2014/main" id="{BE1B1933-53EA-4480-83EB-26B1E9C75D34}"/>
            </a:ext>
          </a:extLst>
        </xdr:cNvPr>
        <xdr:cNvSpPr txBox="1">
          <a:spLocks noChangeArrowheads="1"/>
        </xdr:cNvSpPr>
      </xdr:nvSpPr>
      <xdr:spPr bwMode="auto">
        <a:xfrm>
          <a:off x="3347358" y="3204482"/>
          <a:ext cx="3034393" cy="299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収入・所得</a:t>
          </a:r>
          <a:r>
            <a:rPr lang="ja-JP" altLang="en-US" sz="10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金額</a:t>
          </a:r>
          <a:r>
            <a:rPr lang="ja-JP" altLang="en-US" sz="11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は、キーボード入力も可能です。</a:t>
          </a:r>
          <a:endParaRPr lang="en-US" altLang="ja-JP" sz="11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25979</xdr:colOff>
      <xdr:row>6</xdr:row>
      <xdr:rowOff>129887</xdr:rowOff>
    </xdr:from>
    <xdr:to>
      <xdr:col>9</xdr:col>
      <xdr:colOff>292679</xdr:colOff>
      <xdr:row>13</xdr:row>
      <xdr:rowOff>162213</xdr:rowOff>
    </xdr:to>
    <xdr:sp macro="" textlink="">
      <xdr:nvSpPr>
        <xdr:cNvPr id="4" name="AutoShape 13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5974775" y="1688523"/>
          <a:ext cx="266700" cy="185073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135083</xdr:colOff>
      <xdr:row>6</xdr:row>
      <xdr:rowOff>135082</xdr:rowOff>
    </xdr:from>
    <xdr:to>
      <xdr:col>14</xdr:col>
      <xdr:colOff>193965</xdr:colOff>
      <xdr:row>13</xdr:row>
      <xdr:rowOff>167408</xdr:rowOff>
    </xdr:to>
    <xdr:sp macro="" textlink="">
      <xdr:nvSpPr>
        <xdr:cNvPr id="5" name="AutoShape 13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9175174" y="1745673"/>
          <a:ext cx="266700" cy="1911350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17318</xdr:colOff>
      <xdr:row>14</xdr:row>
      <xdr:rowOff>0</xdr:rowOff>
    </xdr:from>
    <xdr:to>
      <xdr:col>14</xdr:col>
      <xdr:colOff>169718</xdr:colOff>
      <xdr:row>16</xdr:row>
      <xdr:rowOff>242742</xdr:rowOff>
    </xdr:to>
    <xdr:sp macro="" textlink="">
      <xdr:nvSpPr>
        <xdr:cNvPr id="6" name="AutoShape 13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9265227" y="3758045"/>
          <a:ext cx="152400" cy="51117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22514</xdr:colOff>
      <xdr:row>17</xdr:row>
      <xdr:rowOff>13854</xdr:rowOff>
    </xdr:from>
    <xdr:to>
      <xdr:col>14</xdr:col>
      <xdr:colOff>174914</xdr:colOff>
      <xdr:row>18</xdr:row>
      <xdr:rowOff>256596</xdr:rowOff>
    </xdr:to>
    <xdr:sp macro="" textlink="">
      <xdr:nvSpPr>
        <xdr:cNvPr id="7" name="AutoShape 13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9270423" y="4308763"/>
          <a:ext cx="152400" cy="511175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43297</xdr:colOff>
      <xdr:row>0</xdr:row>
      <xdr:rowOff>112569</xdr:rowOff>
    </xdr:from>
    <xdr:to>
      <xdr:col>18</xdr:col>
      <xdr:colOff>138545</xdr:colOff>
      <xdr:row>2</xdr:row>
      <xdr:rowOff>77932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47206" y="112569"/>
          <a:ext cx="10659339" cy="484908"/>
        </a:xfrm>
        <a:prstGeom prst="rect">
          <a:avLst/>
        </a:prstGeom>
        <a:ln>
          <a:headEnd/>
          <a:tailEnd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メイリオ"/>
              <a:ea typeface="メイリオ"/>
              <a:cs typeface="メイリオ"/>
            </a:rPr>
            <a:t>令和７年度　大野城市　国民健康保険税　計算式　（詳細）</a:t>
          </a:r>
        </a:p>
      </xdr:txBody>
    </xdr:sp>
    <xdr:clientData/>
  </xdr:twoCellAnchor>
  <xdr:twoCellAnchor>
    <xdr:from>
      <xdr:col>9</xdr:col>
      <xdr:colOff>25978</xdr:colOff>
      <xdr:row>25</xdr:row>
      <xdr:rowOff>147205</xdr:rowOff>
    </xdr:from>
    <xdr:to>
      <xdr:col>9</xdr:col>
      <xdr:colOff>292678</xdr:colOff>
      <xdr:row>32</xdr:row>
      <xdr:rowOff>179531</xdr:rowOff>
    </xdr:to>
    <xdr:sp macro="" textlink="">
      <xdr:nvSpPr>
        <xdr:cNvPr id="9" name="AutoShape 13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5870865" y="6589569"/>
          <a:ext cx="266700" cy="185073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135083</xdr:colOff>
      <xdr:row>25</xdr:row>
      <xdr:rowOff>135082</xdr:rowOff>
    </xdr:from>
    <xdr:to>
      <xdr:col>14</xdr:col>
      <xdr:colOff>193965</xdr:colOff>
      <xdr:row>32</xdr:row>
      <xdr:rowOff>167408</xdr:rowOff>
    </xdr:to>
    <xdr:sp macro="" textlink="">
      <xdr:nvSpPr>
        <xdr:cNvPr id="10" name="AutoShape 13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/>
        </xdr:cNvSpPr>
      </xdr:nvSpPr>
      <xdr:spPr bwMode="auto">
        <a:xfrm>
          <a:off x="8843654" y="1727118"/>
          <a:ext cx="269794" cy="1889701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17318</xdr:colOff>
      <xdr:row>33</xdr:row>
      <xdr:rowOff>0</xdr:rowOff>
    </xdr:from>
    <xdr:to>
      <xdr:col>14</xdr:col>
      <xdr:colOff>169718</xdr:colOff>
      <xdr:row>35</xdr:row>
      <xdr:rowOff>242742</xdr:rowOff>
    </xdr:to>
    <xdr:sp macro="" textlink="">
      <xdr:nvSpPr>
        <xdr:cNvPr id="11" name="AutoShape 13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/>
        </xdr:cNvSpPr>
      </xdr:nvSpPr>
      <xdr:spPr bwMode="auto">
        <a:xfrm>
          <a:off x="8936801" y="3714750"/>
          <a:ext cx="152400" cy="508082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22514</xdr:colOff>
      <xdr:row>36</xdr:row>
      <xdr:rowOff>13854</xdr:rowOff>
    </xdr:from>
    <xdr:to>
      <xdr:col>14</xdr:col>
      <xdr:colOff>174914</xdr:colOff>
      <xdr:row>37</xdr:row>
      <xdr:rowOff>256596</xdr:rowOff>
    </xdr:to>
    <xdr:sp macro="" textlink="">
      <xdr:nvSpPr>
        <xdr:cNvPr id="12" name="AutoShape 13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/>
        </xdr:cNvSpPr>
      </xdr:nvSpPr>
      <xdr:spPr bwMode="auto">
        <a:xfrm>
          <a:off x="8941997" y="4259283"/>
          <a:ext cx="152400" cy="508082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17319</xdr:colOff>
      <xdr:row>44</xdr:row>
      <xdr:rowOff>138547</xdr:rowOff>
    </xdr:from>
    <xdr:to>
      <xdr:col>9</xdr:col>
      <xdr:colOff>284019</xdr:colOff>
      <xdr:row>51</xdr:row>
      <xdr:rowOff>170873</xdr:rowOff>
    </xdr:to>
    <xdr:sp macro="" textlink="">
      <xdr:nvSpPr>
        <xdr:cNvPr id="13" name="AutoShape 13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/>
        </xdr:cNvSpPr>
      </xdr:nvSpPr>
      <xdr:spPr bwMode="auto">
        <a:xfrm>
          <a:off x="5862206" y="11464638"/>
          <a:ext cx="266700" cy="1850735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135083</xdr:colOff>
      <xdr:row>44</xdr:row>
      <xdr:rowOff>135082</xdr:rowOff>
    </xdr:from>
    <xdr:to>
      <xdr:col>14</xdr:col>
      <xdr:colOff>193965</xdr:colOff>
      <xdr:row>51</xdr:row>
      <xdr:rowOff>167408</xdr:rowOff>
    </xdr:to>
    <xdr:sp macro="" textlink="">
      <xdr:nvSpPr>
        <xdr:cNvPr id="14" name="AutoShape 13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/>
        </xdr:cNvSpPr>
      </xdr:nvSpPr>
      <xdr:spPr bwMode="auto">
        <a:xfrm>
          <a:off x="8843654" y="1727118"/>
          <a:ext cx="269794" cy="1889701"/>
        </a:xfrm>
        <a:prstGeom prst="rightBrace">
          <a:avLst>
            <a:gd name="adj1" fmla="val 47315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17318</xdr:colOff>
      <xdr:row>52</xdr:row>
      <xdr:rowOff>0</xdr:rowOff>
    </xdr:from>
    <xdr:to>
      <xdr:col>14</xdr:col>
      <xdr:colOff>169718</xdr:colOff>
      <xdr:row>54</xdr:row>
      <xdr:rowOff>242742</xdr:rowOff>
    </xdr:to>
    <xdr:sp macro="" textlink="">
      <xdr:nvSpPr>
        <xdr:cNvPr id="15" name="AutoShape 13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/>
        </xdr:cNvSpPr>
      </xdr:nvSpPr>
      <xdr:spPr bwMode="auto">
        <a:xfrm>
          <a:off x="8936801" y="3714750"/>
          <a:ext cx="152400" cy="508082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22514</xdr:colOff>
      <xdr:row>55</xdr:row>
      <xdr:rowOff>13854</xdr:rowOff>
    </xdr:from>
    <xdr:to>
      <xdr:col>14</xdr:col>
      <xdr:colOff>174914</xdr:colOff>
      <xdr:row>56</xdr:row>
      <xdr:rowOff>256596</xdr:rowOff>
    </xdr:to>
    <xdr:sp macro="" textlink="">
      <xdr:nvSpPr>
        <xdr:cNvPr id="16" name="AutoShape 13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/>
        </xdr:cNvSpPr>
      </xdr:nvSpPr>
      <xdr:spPr bwMode="auto">
        <a:xfrm>
          <a:off x="8941997" y="4259283"/>
          <a:ext cx="152400" cy="508082"/>
        </a:xfrm>
        <a:prstGeom prst="rightBrace">
          <a:avLst>
            <a:gd name="adj1" fmla="val 47402"/>
            <a:gd name="adj2" fmla="val 50000"/>
          </a:avLst>
        </a:prstGeom>
        <a:noFill/>
        <a:ln w="9525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88900</xdr:rowOff>
    </xdr:from>
    <xdr:to>
      <xdr:col>2</xdr:col>
      <xdr:colOff>276225</xdr:colOff>
      <xdr:row>4</xdr:row>
      <xdr:rowOff>64077</xdr:rowOff>
    </xdr:to>
    <xdr:grpSp>
      <xdr:nvGrpSpPr>
        <xdr:cNvPr id="17" name="Group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>
          <a:grpSpLocks/>
        </xdr:cNvGrpSpPr>
      </xdr:nvGrpSpPr>
      <xdr:grpSpPr bwMode="auto">
        <a:xfrm>
          <a:off x="207818" y="764309"/>
          <a:ext cx="276225" cy="234950"/>
          <a:chOff x="135" y="487"/>
          <a:chExt cx="29" cy="24"/>
        </a:xfrm>
      </xdr:grpSpPr>
      <xdr:sp macro="" textlink="">
        <xdr:nvSpPr>
          <xdr:cNvPr id="18" name="Oval 9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135" y="487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9" name="Text Box 10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5" y="487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1</a:t>
            </a:r>
          </a:p>
        </xdr:txBody>
      </xdr:sp>
    </xdr:grpSp>
    <xdr:clientData/>
  </xdr:twoCellAnchor>
  <xdr:oneCellAnchor>
    <xdr:from>
      <xdr:col>2</xdr:col>
      <xdr:colOff>250825</xdr:colOff>
      <xdr:row>2</xdr:row>
      <xdr:rowOff>112570</xdr:rowOff>
    </xdr:from>
    <xdr:ext cx="877163" cy="473463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58643" y="632115"/>
          <a:ext cx="877163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医療分</a:t>
          </a:r>
          <a:endParaRPr kumimoji="1" lang="en-US" altLang="ja-JP" sz="14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2</xdr:col>
      <xdr:colOff>247650</xdr:colOff>
      <xdr:row>22</xdr:row>
      <xdr:rowOff>0</xdr:rowOff>
    </xdr:from>
    <xdr:ext cx="1210588" cy="431144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51757" y="5497286"/>
          <a:ext cx="1210588" cy="43114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600" b="1">
              <a:latin typeface="Meiryo UI" panose="020B0604030504040204" pitchFamily="50" charset="-128"/>
              <a:ea typeface="Meiryo UI" panose="020B0604030504040204" pitchFamily="50" charset="-128"/>
            </a:rPr>
            <a:t>後期支援分</a:t>
          </a:r>
        </a:p>
      </xdr:txBody>
    </xdr:sp>
    <xdr:clientData/>
  </xdr:oneCellAnchor>
  <xdr:twoCellAnchor>
    <xdr:from>
      <xdr:col>2</xdr:col>
      <xdr:colOff>0</xdr:colOff>
      <xdr:row>22</xdr:row>
      <xdr:rowOff>95250</xdr:rowOff>
    </xdr:from>
    <xdr:to>
      <xdr:col>2</xdr:col>
      <xdr:colOff>276225</xdr:colOff>
      <xdr:row>23</xdr:row>
      <xdr:rowOff>67252</xdr:rowOff>
    </xdr:to>
    <xdr:grpSp>
      <xdr:nvGrpSpPr>
        <xdr:cNvPr id="22" name="Group 18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207818" y="5602432"/>
          <a:ext cx="276225" cy="231775"/>
          <a:chOff x="248" y="493"/>
          <a:chExt cx="29" cy="24"/>
        </a:xfrm>
      </xdr:grpSpPr>
      <xdr:sp macro="" textlink="">
        <xdr:nvSpPr>
          <xdr:cNvPr id="23" name="Oval 13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4" name="Text Box 14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2</a:t>
            </a:r>
          </a:p>
        </xdr:txBody>
      </xdr:sp>
    </xdr:grpSp>
    <xdr:clientData/>
  </xdr:twoCellAnchor>
  <xdr:oneCellAnchor>
    <xdr:from>
      <xdr:col>2</xdr:col>
      <xdr:colOff>269009</xdr:colOff>
      <xdr:row>40</xdr:row>
      <xdr:rowOff>67541</xdr:rowOff>
    </xdr:from>
    <xdr:ext cx="877163" cy="473463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76827" y="10233314"/>
          <a:ext cx="877163" cy="4734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介護分</a:t>
          </a:r>
          <a:endParaRPr kumimoji="1" lang="ja-JP" altLang="en-US" sz="16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2</xdr:col>
      <xdr:colOff>17318</xdr:colOff>
      <xdr:row>41</xdr:row>
      <xdr:rowOff>21936</xdr:rowOff>
    </xdr:from>
    <xdr:to>
      <xdr:col>2</xdr:col>
      <xdr:colOff>293543</xdr:colOff>
      <xdr:row>41</xdr:row>
      <xdr:rowOff>271029</xdr:rowOff>
    </xdr:to>
    <xdr:grpSp>
      <xdr:nvGrpSpPr>
        <xdr:cNvPr id="26" name="Group 1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pSpPr>
          <a:grpSpLocks/>
        </xdr:cNvGrpSpPr>
      </xdr:nvGrpSpPr>
      <xdr:grpSpPr bwMode="auto">
        <a:xfrm>
          <a:off x="225136" y="10326254"/>
          <a:ext cx="276225" cy="249093"/>
          <a:chOff x="248" y="493"/>
          <a:chExt cx="29" cy="24"/>
        </a:xfrm>
      </xdr:grpSpPr>
      <xdr:sp macro="" textlink="">
        <xdr:nvSpPr>
          <xdr:cNvPr id="27" name="Oval 13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249" y="493"/>
            <a:ext cx="24" cy="24"/>
          </a:xfrm>
          <a:prstGeom prst="ellipse">
            <a:avLst/>
          </a:prstGeom>
          <a:solidFill>
            <a:srgbClr val="000000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" name="Text Box 14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8" y="493"/>
            <a:ext cx="29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36576" tIns="18288" rIns="36576" bIns="18288" anchor="ctr" upright="1"/>
          <a:lstStyle/>
          <a:p>
            <a:pPr algn="ctr" rtl="0">
              <a:defRPr sz="1000"/>
            </a:pPr>
            <a:r>
              <a:rPr lang="en-US" altLang="ja-JP" sz="1100" b="1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</a:rPr>
              <a:t>3</a:t>
            </a:r>
          </a:p>
        </xdr:txBody>
      </xdr:sp>
    </xdr:grpSp>
    <xdr:clientData/>
  </xdr:twoCellAnchor>
  <xdr:twoCellAnchor editAs="oneCell">
    <xdr:from>
      <xdr:col>3</xdr:col>
      <xdr:colOff>216477</xdr:colOff>
      <xdr:row>40</xdr:row>
      <xdr:rowOff>142442</xdr:rowOff>
    </xdr:from>
    <xdr:to>
      <xdr:col>8</xdr:col>
      <xdr:colOff>244929</xdr:colOff>
      <xdr:row>42</xdr:row>
      <xdr:rowOff>40821</xdr:rowOff>
    </xdr:to>
    <xdr:sp macro="" textlink="">
      <xdr:nvSpPr>
        <xdr:cNvPr id="29" name="テキスト ボックス 52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196191" y="10266156"/>
          <a:ext cx="3811238" cy="333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lang="en-US" altLang="ja-JP" sz="14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40</a:t>
          </a:r>
          <a:r>
            <a:rPr lang="ja-JP" altLang="en-US" sz="14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歳から</a:t>
          </a:r>
          <a:r>
            <a:rPr lang="en-US" altLang="ja-JP" sz="14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64</a:t>
          </a:r>
          <a:r>
            <a:rPr lang="ja-JP" altLang="en-US" sz="1400" b="0" i="0" strike="noStrike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歳までの被保険者が対象）</a:t>
          </a:r>
          <a:endParaRPr lang="en-US" altLang="ja-JP" sz="1400" b="0" i="0" strike="noStrike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265167</xdr:colOff>
      <xdr:row>41</xdr:row>
      <xdr:rowOff>151209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23A9F3B-6DEE-4064-A3C9-16B262E6B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266667" cy="9523809"/>
        </a:xfrm>
        <a:prstGeom prst="rect">
          <a:avLst/>
        </a:prstGeom>
      </xdr:spPr>
    </xdr:pic>
    <xdr:clientData/>
  </xdr:twoCellAnchor>
  <xdr:twoCellAnchor>
    <xdr:from>
      <xdr:col>8</xdr:col>
      <xdr:colOff>272143</xdr:colOff>
      <xdr:row>11</xdr:row>
      <xdr:rowOff>204107</xdr:rowOff>
    </xdr:from>
    <xdr:to>
      <xdr:col>13</xdr:col>
      <xdr:colOff>598714</xdr:colOff>
      <xdr:row>17</xdr:row>
      <xdr:rowOff>217715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D8AD535-6A50-40B6-B065-CBC791F3F07A}"/>
            </a:ext>
          </a:extLst>
        </xdr:cNvPr>
        <xdr:cNvSpPr/>
      </xdr:nvSpPr>
      <xdr:spPr>
        <a:xfrm>
          <a:off x="5606143" y="2748643"/>
          <a:ext cx="3660321" cy="140153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41</xdr:row>
      <xdr:rowOff>163285</xdr:rowOff>
    </xdr:from>
    <xdr:to>
      <xdr:col>18</xdr:col>
      <xdr:colOff>265167</xdr:colOff>
      <xdr:row>82</xdr:row>
      <xdr:rowOff>202916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069E4FF-72D2-4F68-9EF9-2514BD7A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647464"/>
          <a:ext cx="12266667" cy="9523809"/>
        </a:xfrm>
        <a:prstGeom prst="rect">
          <a:avLst/>
        </a:prstGeom>
      </xdr:spPr>
    </xdr:pic>
    <xdr:clientData/>
  </xdr:twoCellAnchor>
  <xdr:twoCellAnchor>
    <xdr:from>
      <xdr:col>8</xdr:col>
      <xdr:colOff>348344</xdr:colOff>
      <xdr:row>65</xdr:row>
      <xdr:rowOff>206555</xdr:rowOff>
    </xdr:from>
    <xdr:to>
      <xdr:col>9</xdr:col>
      <xdr:colOff>424543</xdr:colOff>
      <xdr:row>67</xdr:row>
      <xdr:rowOff>152400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27AD7EC-8AC3-4A03-BFF7-5ECD3662DC6A}"/>
            </a:ext>
          </a:extLst>
        </xdr:cNvPr>
        <xdr:cNvSpPr/>
      </xdr:nvSpPr>
      <xdr:spPr>
        <a:xfrm>
          <a:off x="5747658" y="15065555"/>
          <a:ext cx="751114" cy="40304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N45"/>
  <sheetViews>
    <sheetView showGridLines="0" tabSelected="1" zoomScale="85" zoomScaleNormal="85" zoomScaleSheetLayoutView="70" workbookViewId="0">
      <selection activeCell="BC14" sqref="BC14"/>
    </sheetView>
  </sheetViews>
  <sheetFormatPr defaultColWidth="2.875" defaultRowHeight="18.75" x14ac:dyDescent="0.4"/>
  <cols>
    <col min="1" max="1" width="2.125" customWidth="1"/>
    <col min="2" max="2" width="2.875" customWidth="1"/>
    <col min="3" max="4" width="2.75" customWidth="1"/>
    <col min="5" max="8" width="2.375" customWidth="1"/>
    <col min="9" max="9" width="3.375" customWidth="1"/>
    <col min="10" max="12" width="2.75" customWidth="1"/>
    <col min="13" max="14" width="2.125" customWidth="1"/>
    <col min="15" max="16" width="2.75" customWidth="1"/>
    <col min="17" max="17" width="3.625" customWidth="1"/>
    <col min="18" max="19" width="2.75" customWidth="1"/>
    <col min="20" max="21" width="2" customWidth="1"/>
    <col min="22" max="26" width="2.75" customWidth="1"/>
    <col min="27" max="28" width="2.125" customWidth="1"/>
    <col min="29" max="34" width="2.75" customWidth="1"/>
    <col min="35" max="36" width="2.125" customWidth="1"/>
    <col min="37" max="38" width="2.75" customWidth="1"/>
    <col min="39" max="39" width="3.625" customWidth="1"/>
    <col min="40" max="40" width="2" customWidth="1"/>
    <col min="41" max="51" width="2.75" customWidth="1"/>
    <col min="52" max="52" width="2.25" customWidth="1"/>
    <col min="53" max="55" width="2.75" customWidth="1"/>
  </cols>
  <sheetData>
    <row r="3" spans="9:40" ht="13.5" customHeight="1" x14ac:dyDescent="0.4"/>
    <row r="14" spans="9:40" ht="27" customHeight="1" x14ac:dyDescent="0.4">
      <c r="AL14" s="4"/>
      <c r="AM14" s="4"/>
      <c r="AN14" s="4"/>
    </row>
    <row r="15" spans="9:40" ht="13.5" customHeight="1" x14ac:dyDescent="0.4">
      <c r="J15" s="28"/>
    </row>
    <row r="16" spans="9:40" ht="30.4" customHeight="1" x14ac:dyDescent="0.4">
      <c r="I16" s="194" t="s">
        <v>7</v>
      </c>
      <c r="J16" s="195"/>
      <c r="K16" s="195"/>
      <c r="L16" s="195"/>
      <c r="M16" s="195"/>
      <c r="N16" s="195"/>
      <c r="O16" s="195"/>
      <c r="P16" s="195"/>
      <c r="R16" s="195" t="s">
        <v>8</v>
      </c>
      <c r="S16" s="195"/>
      <c r="T16" s="195"/>
      <c r="U16" s="195"/>
      <c r="V16" s="195"/>
      <c r="Y16" s="195" t="s">
        <v>9</v>
      </c>
      <c r="Z16" s="195"/>
      <c r="AA16" s="195"/>
      <c r="AB16" s="195"/>
      <c r="AC16" s="195"/>
      <c r="AF16" s="195" t="s">
        <v>10</v>
      </c>
      <c r="AG16" s="195"/>
      <c r="AH16" s="195"/>
      <c r="AI16" s="195"/>
      <c r="AJ16" s="195"/>
      <c r="AL16" s="185" t="s">
        <v>24</v>
      </c>
      <c r="AM16" s="185"/>
      <c r="AN16" s="185"/>
    </row>
    <row r="17" spans="2:40" ht="21" customHeight="1" x14ac:dyDescent="0.4">
      <c r="B17" s="232" t="s">
        <v>0</v>
      </c>
      <c r="C17" s="232"/>
      <c r="D17" s="232"/>
      <c r="E17" s="228" t="s">
        <v>189</v>
      </c>
      <c r="F17" s="229"/>
      <c r="G17" s="229"/>
      <c r="H17" s="230"/>
      <c r="I17" s="6"/>
      <c r="J17" s="196" t="s">
        <v>184</v>
      </c>
      <c r="K17" s="197"/>
      <c r="L17" s="197"/>
      <c r="M17" s="197"/>
      <c r="N17" s="197"/>
      <c r="O17" s="197"/>
      <c r="P17" s="198"/>
      <c r="R17" s="199"/>
      <c r="S17" s="200"/>
      <c r="T17" s="200"/>
      <c r="U17" s="200"/>
      <c r="V17" s="201"/>
      <c r="W17" t="s">
        <v>6</v>
      </c>
      <c r="Y17" s="199"/>
      <c r="Z17" s="200"/>
      <c r="AA17" s="200"/>
      <c r="AB17" s="200"/>
      <c r="AC17" s="201"/>
      <c r="AD17" t="s">
        <v>6</v>
      </c>
      <c r="AF17" s="199"/>
      <c r="AG17" s="200"/>
      <c r="AH17" s="200"/>
      <c r="AI17" s="200"/>
      <c r="AJ17" s="201"/>
      <c r="AK17" t="s">
        <v>6</v>
      </c>
      <c r="AL17" t="s">
        <v>23</v>
      </c>
      <c r="AM17" s="29"/>
      <c r="AN17" s="24"/>
    </row>
    <row r="18" spans="2:40" ht="21" customHeight="1" x14ac:dyDescent="0.4">
      <c r="B18" s="231"/>
      <c r="C18" s="231"/>
      <c r="D18" s="231"/>
      <c r="J18" s="23" t="str">
        <f>IF(AND(AM17="○",J17="65歳から74歳まで")=TRUE,"非自発的失業者は64歳以下の方が対象です。",IF(AND(AM17="○",J17="75歳以上")=TRUE,"非自発的失業者は64歳以下の方が対象です。",IF(J17="","年齢区分は必ず選択項目から選択してください。","")))</f>
        <v/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7"/>
      <c r="AN18" s="25"/>
    </row>
    <row r="19" spans="2:40" ht="21" customHeight="1" x14ac:dyDescent="0.4">
      <c r="B19" s="233" t="s">
        <v>1</v>
      </c>
      <c r="C19" s="233"/>
      <c r="D19" s="233"/>
      <c r="I19" s="6"/>
      <c r="J19" s="196" t="s">
        <v>184</v>
      </c>
      <c r="K19" s="197"/>
      <c r="L19" s="197"/>
      <c r="M19" s="197"/>
      <c r="N19" s="197"/>
      <c r="O19" s="197"/>
      <c r="P19" s="198"/>
      <c r="R19" s="199"/>
      <c r="S19" s="200"/>
      <c r="T19" s="200"/>
      <c r="U19" s="200"/>
      <c r="V19" s="201"/>
      <c r="W19" t="s">
        <v>6</v>
      </c>
      <c r="Y19" s="199"/>
      <c r="Z19" s="200"/>
      <c r="AA19" s="200"/>
      <c r="AB19" s="200"/>
      <c r="AC19" s="201"/>
      <c r="AD19" t="s">
        <v>6</v>
      </c>
      <c r="AF19" s="199"/>
      <c r="AG19" s="200"/>
      <c r="AH19" s="200"/>
      <c r="AI19" s="200"/>
      <c r="AJ19" s="201"/>
      <c r="AK19" t="s">
        <v>6</v>
      </c>
      <c r="AM19" s="29"/>
      <c r="AN19" s="24"/>
    </row>
    <row r="20" spans="2:40" ht="21" customHeight="1" x14ac:dyDescent="0.4">
      <c r="B20" s="231"/>
      <c r="C20" s="231"/>
      <c r="D20" s="231"/>
      <c r="J20" s="22" t="str">
        <f>IF(AND(J19="加入しない",SUM(R19:AJ19)&gt;0)=TRUE,"未加入者の所得（収入）は保険税計算の対象となりません。",IF(AND(AM19="○",J19="65歳から74歳まで")=TRUE,"非自発的失業者は64歳以下の方が対象です。",IF(J19="","年齢区分は必ず選択項目（加入しない含む）から選択してください。","")))</f>
        <v/>
      </c>
      <c r="K20" s="12"/>
      <c r="L20" s="12"/>
      <c r="M20" s="12"/>
      <c r="N20" s="12"/>
      <c r="O20" s="12"/>
      <c r="P20" s="12"/>
      <c r="AM20" s="26"/>
      <c r="AN20" s="24"/>
    </row>
    <row r="21" spans="2:40" ht="21" customHeight="1" x14ac:dyDescent="0.4">
      <c r="B21" s="233" t="s">
        <v>2</v>
      </c>
      <c r="C21" s="233"/>
      <c r="D21" s="233"/>
      <c r="I21" s="6"/>
      <c r="J21" s="196" t="s">
        <v>184</v>
      </c>
      <c r="K21" s="197"/>
      <c r="L21" s="197"/>
      <c r="M21" s="197"/>
      <c r="N21" s="197"/>
      <c r="O21" s="197"/>
      <c r="P21" s="198"/>
      <c r="R21" s="199"/>
      <c r="S21" s="200"/>
      <c r="T21" s="200"/>
      <c r="U21" s="200"/>
      <c r="V21" s="201"/>
      <c r="W21" t="s">
        <v>6</v>
      </c>
      <c r="Y21" s="199"/>
      <c r="Z21" s="200"/>
      <c r="AA21" s="200"/>
      <c r="AB21" s="200"/>
      <c r="AC21" s="201"/>
      <c r="AD21" t="s">
        <v>6</v>
      </c>
      <c r="AF21" s="199"/>
      <c r="AG21" s="200"/>
      <c r="AH21" s="200"/>
      <c r="AI21" s="200"/>
      <c r="AJ21" s="201"/>
      <c r="AK21" t="s">
        <v>6</v>
      </c>
      <c r="AM21" s="29"/>
      <c r="AN21" s="24"/>
    </row>
    <row r="22" spans="2:40" ht="21" customHeight="1" x14ac:dyDescent="0.4">
      <c r="B22" s="231"/>
      <c r="C22" s="231"/>
      <c r="D22" s="231"/>
      <c r="J22" s="22" t="str">
        <f>IF(AND(J21="加入しない",SUM(R21:AJ21)&gt;0)=TRUE,"未加入者の所得（収入）は保険税計算の対象となりません。",IF(AND(AM21="○",J21="65歳から74歳まで")=TRUE,"非自発的失業者は64歳以下の方が対象です。",IF(J21="","年齢区分は必ず選択項目（加入しない含む）から選択してください。","")))</f>
        <v/>
      </c>
      <c r="K22" s="12"/>
      <c r="L22" s="12"/>
      <c r="M22" s="12"/>
      <c r="N22" s="12"/>
      <c r="O22" s="12"/>
      <c r="P22" s="12"/>
      <c r="AM22" s="26"/>
      <c r="AN22" s="24"/>
    </row>
    <row r="23" spans="2:40" ht="21" customHeight="1" x14ac:dyDescent="0.4">
      <c r="B23" s="233" t="s">
        <v>3</v>
      </c>
      <c r="C23" s="233"/>
      <c r="D23" s="233"/>
      <c r="I23" s="6"/>
      <c r="J23" s="196" t="s">
        <v>184</v>
      </c>
      <c r="K23" s="197"/>
      <c r="L23" s="197"/>
      <c r="M23" s="197"/>
      <c r="N23" s="197"/>
      <c r="O23" s="197"/>
      <c r="P23" s="198"/>
      <c r="R23" s="199"/>
      <c r="S23" s="200"/>
      <c r="T23" s="200"/>
      <c r="U23" s="200"/>
      <c r="V23" s="201"/>
      <c r="W23" t="s">
        <v>6</v>
      </c>
      <c r="Y23" s="199"/>
      <c r="Z23" s="200"/>
      <c r="AA23" s="200"/>
      <c r="AB23" s="200"/>
      <c r="AC23" s="201"/>
      <c r="AD23" t="s">
        <v>6</v>
      </c>
      <c r="AF23" s="199"/>
      <c r="AG23" s="200"/>
      <c r="AH23" s="200"/>
      <c r="AI23" s="200"/>
      <c r="AJ23" s="201"/>
      <c r="AK23" t="s">
        <v>6</v>
      </c>
      <c r="AM23" s="29"/>
      <c r="AN23" s="24"/>
    </row>
    <row r="24" spans="2:40" ht="21" customHeight="1" x14ac:dyDescent="0.4">
      <c r="B24" s="231"/>
      <c r="C24" s="231"/>
      <c r="D24" s="231"/>
      <c r="J24" s="22" t="str">
        <f>IF(AND(J23="加入しない",SUM(R23:AJ23)&gt;0)=TRUE,"未加入者の所得（収入）は保険税計算の対象となりません。",IF(AND(AM23="○",J23="65歳から74歳まで")=TRUE,"非自発的失業者は64歳以下の方が対象です。",IF(J23="","年齢区分は必ず選択項目（加入しない含む）から選択してください。","")))</f>
        <v/>
      </c>
      <c r="K24" s="12"/>
      <c r="L24" s="12"/>
      <c r="M24" s="12"/>
      <c r="N24" s="12"/>
      <c r="O24" s="12"/>
      <c r="P24" s="12"/>
      <c r="AM24" s="26"/>
      <c r="AN24" s="24"/>
    </row>
    <row r="25" spans="2:40" ht="21" customHeight="1" x14ac:dyDescent="0.4">
      <c r="B25" s="233" t="s">
        <v>4</v>
      </c>
      <c r="C25" s="233"/>
      <c r="D25" s="233"/>
      <c r="I25" s="6"/>
      <c r="J25" s="196" t="s">
        <v>184</v>
      </c>
      <c r="K25" s="197"/>
      <c r="L25" s="197"/>
      <c r="M25" s="197"/>
      <c r="N25" s="197"/>
      <c r="O25" s="197"/>
      <c r="P25" s="198"/>
      <c r="R25" s="199"/>
      <c r="S25" s="200"/>
      <c r="T25" s="200"/>
      <c r="U25" s="200"/>
      <c r="V25" s="201"/>
      <c r="W25" t="s">
        <v>6</v>
      </c>
      <c r="Y25" s="199"/>
      <c r="Z25" s="200"/>
      <c r="AA25" s="200"/>
      <c r="AB25" s="200"/>
      <c r="AC25" s="201"/>
      <c r="AD25" t="s">
        <v>6</v>
      </c>
      <c r="AF25" s="199"/>
      <c r="AG25" s="200"/>
      <c r="AH25" s="200"/>
      <c r="AI25" s="200"/>
      <c r="AJ25" s="201"/>
      <c r="AK25" t="s">
        <v>6</v>
      </c>
      <c r="AM25" s="29"/>
      <c r="AN25" s="24"/>
    </row>
    <row r="26" spans="2:40" ht="21" customHeight="1" x14ac:dyDescent="0.4">
      <c r="B26" s="231"/>
      <c r="C26" s="231"/>
      <c r="D26" s="231"/>
      <c r="J26" s="22" t="str">
        <f>IF(AND(J25="加入しない",SUM(R25:AJ25)&gt;0)=TRUE,"未加入者の所得（収入）は保険税計算の対象となりません。",IF(AND(AM25="○",J25="65歳から74歳まで")=TRUE,"非自発的失業者は64歳以下の方が対象です。",IF(J25="","年齢区分は必ず選択項目（加入しない含む）から選択してください。","")))</f>
        <v/>
      </c>
      <c r="K26" s="12"/>
      <c r="L26" s="12"/>
      <c r="M26" s="12"/>
      <c r="N26" s="12"/>
      <c r="O26" s="12"/>
      <c r="P26" s="12"/>
      <c r="AM26" s="26"/>
      <c r="AN26" s="24"/>
    </row>
    <row r="27" spans="2:40" ht="21" customHeight="1" x14ac:dyDescent="0.4">
      <c r="B27" s="233" t="s">
        <v>5</v>
      </c>
      <c r="C27" s="233"/>
      <c r="D27" s="233"/>
      <c r="I27" s="6"/>
      <c r="J27" s="196" t="s">
        <v>184</v>
      </c>
      <c r="K27" s="197"/>
      <c r="L27" s="197"/>
      <c r="M27" s="197"/>
      <c r="N27" s="197"/>
      <c r="O27" s="197"/>
      <c r="P27" s="198"/>
      <c r="R27" s="199"/>
      <c r="S27" s="200"/>
      <c r="T27" s="200"/>
      <c r="U27" s="200"/>
      <c r="V27" s="201"/>
      <c r="W27" t="s">
        <v>6</v>
      </c>
      <c r="Y27" s="199"/>
      <c r="Z27" s="200"/>
      <c r="AA27" s="200"/>
      <c r="AB27" s="200"/>
      <c r="AC27" s="201"/>
      <c r="AD27" t="s">
        <v>6</v>
      </c>
      <c r="AF27" s="199"/>
      <c r="AG27" s="200"/>
      <c r="AH27" s="200"/>
      <c r="AI27" s="200"/>
      <c r="AJ27" s="201"/>
      <c r="AK27" t="s">
        <v>6</v>
      </c>
      <c r="AM27" s="29"/>
      <c r="AN27" s="24"/>
    </row>
    <row r="28" spans="2:40" ht="14.65" customHeight="1" x14ac:dyDescent="0.4">
      <c r="B28" s="231"/>
      <c r="C28" s="231"/>
      <c r="D28" s="231"/>
      <c r="J28" s="22" t="str">
        <f>IF(AND(J27="加入しない",SUM(R27:AJ27)&gt;0)=TRUE,"未加入者の所得（収入）は保険税計算の対象となりません。",IF(AND(AM27="○",J27="65歳から74歳まで")=TRUE,"非自発的失業者は64歳以下の方が対象です。",IF(J27="","年齢区分は必ず選択項目（加入しない含む）から選択してください。","")))</f>
        <v/>
      </c>
      <c r="AN28" s="21"/>
    </row>
    <row r="29" spans="2:40" ht="12.4" customHeight="1" x14ac:dyDescent="0.4"/>
    <row r="30" spans="2:40" ht="24" customHeight="1" x14ac:dyDescent="0.4">
      <c r="B30" s="218" t="s">
        <v>11</v>
      </c>
      <c r="C30" s="218"/>
      <c r="D30" s="218"/>
      <c r="E30" s="218"/>
      <c r="F30" s="218"/>
      <c r="G30" s="218"/>
      <c r="H30" s="218"/>
      <c r="I30" s="226" t="s">
        <v>12</v>
      </c>
      <c r="J30" s="226"/>
      <c r="K30" s="226"/>
      <c r="L30" s="226"/>
      <c r="M30" s="226"/>
      <c r="N30" s="226"/>
      <c r="O30" s="226"/>
      <c r="P30" s="227" t="s">
        <v>13</v>
      </c>
      <c r="Q30" s="227"/>
      <c r="R30" s="227"/>
      <c r="S30" s="227"/>
      <c r="T30" s="227"/>
      <c r="U30" s="227"/>
      <c r="V30" s="227"/>
      <c r="W30" s="217" t="s">
        <v>14</v>
      </c>
      <c r="X30" s="217"/>
      <c r="Y30" s="217"/>
      <c r="Z30" s="217"/>
      <c r="AA30" s="217"/>
      <c r="AB30" s="217"/>
      <c r="AC30" s="217"/>
      <c r="AD30" s="1"/>
      <c r="AE30" s="1"/>
      <c r="AI30" s="1"/>
      <c r="AJ30" s="1"/>
      <c r="AK30" s="1"/>
      <c r="AL30" s="1"/>
      <c r="AM30" s="1"/>
      <c r="AN30" s="1"/>
    </row>
    <row r="31" spans="2:40" ht="14.85" customHeight="1" x14ac:dyDescent="0.4"/>
    <row r="32" spans="2:40" ht="26.85" customHeight="1" x14ac:dyDescent="0.4">
      <c r="B32" s="218" t="s">
        <v>15</v>
      </c>
      <c r="C32" s="218"/>
      <c r="D32" s="218"/>
      <c r="E32" s="218"/>
      <c r="F32" s="218"/>
      <c r="G32" s="218"/>
      <c r="H32" s="219"/>
      <c r="I32" s="220">
        <f>計算の詳細!P8</f>
        <v>0</v>
      </c>
      <c r="J32" s="221"/>
      <c r="K32" s="221"/>
      <c r="L32" s="221"/>
      <c r="M32" s="221"/>
      <c r="N32" s="221"/>
      <c r="O32" s="8" t="s">
        <v>6</v>
      </c>
      <c r="P32" s="222">
        <f>計算の詳細!P27</f>
        <v>0</v>
      </c>
      <c r="Q32" s="223"/>
      <c r="R32" s="223"/>
      <c r="S32" s="223"/>
      <c r="T32" s="223"/>
      <c r="U32" s="223"/>
      <c r="V32" s="7" t="s">
        <v>6</v>
      </c>
      <c r="W32" s="224">
        <f>計算の詳細!P46</f>
        <v>0</v>
      </c>
      <c r="X32" s="225"/>
      <c r="Y32" s="225"/>
      <c r="Z32" s="225"/>
      <c r="AA32" s="225"/>
      <c r="AB32" s="225"/>
      <c r="AC32" s="30" t="s">
        <v>6</v>
      </c>
    </row>
    <row r="33" spans="2:38" ht="17.45" customHeight="1" x14ac:dyDescent="0.4">
      <c r="I33" s="187" t="s">
        <v>25</v>
      </c>
      <c r="J33" s="187"/>
      <c r="K33" s="187"/>
      <c r="L33" s="187"/>
      <c r="M33" s="187"/>
      <c r="N33" s="187"/>
      <c r="O33" s="187"/>
      <c r="P33" s="187" t="s">
        <v>25</v>
      </c>
      <c r="Q33" s="187"/>
      <c r="R33" s="187"/>
      <c r="S33" s="187"/>
      <c r="T33" s="187"/>
      <c r="U33" s="187"/>
      <c r="V33" s="187"/>
      <c r="W33" s="187" t="s">
        <v>25</v>
      </c>
      <c r="X33" s="187"/>
      <c r="Y33" s="187"/>
      <c r="Z33" s="187"/>
      <c r="AA33" s="187"/>
      <c r="AB33" s="187"/>
      <c r="AC33" s="187"/>
    </row>
    <row r="34" spans="2:38" ht="26.85" customHeight="1" x14ac:dyDescent="0.4">
      <c r="B34" s="218" t="s">
        <v>16</v>
      </c>
      <c r="C34" s="218"/>
      <c r="D34" s="218"/>
      <c r="E34" s="218"/>
      <c r="F34" s="218"/>
      <c r="G34" s="218"/>
      <c r="H34" s="218"/>
      <c r="I34" s="220">
        <f>計算の詳細!P15</f>
        <v>8400</v>
      </c>
      <c r="J34" s="221"/>
      <c r="K34" s="221"/>
      <c r="L34" s="221"/>
      <c r="M34" s="221"/>
      <c r="N34" s="221"/>
      <c r="O34" s="8" t="s">
        <v>6</v>
      </c>
      <c r="P34" s="222">
        <f>計算の詳細!P34</f>
        <v>3300.0000000000009</v>
      </c>
      <c r="Q34" s="223"/>
      <c r="R34" s="223"/>
      <c r="S34" s="223"/>
      <c r="T34" s="223"/>
      <c r="U34" s="223"/>
      <c r="V34" s="7" t="s">
        <v>6</v>
      </c>
      <c r="W34" s="224">
        <f>計算の詳細!P53</f>
        <v>0</v>
      </c>
      <c r="X34" s="225"/>
      <c r="Y34" s="225"/>
      <c r="Z34" s="225"/>
      <c r="AA34" s="225"/>
      <c r="AB34" s="225"/>
      <c r="AC34" s="30" t="s">
        <v>6</v>
      </c>
    </row>
    <row r="35" spans="2:38" ht="17.45" customHeight="1" x14ac:dyDescent="0.4">
      <c r="I35" s="187" t="s">
        <v>25</v>
      </c>
      <c r="J35" s="187"/>
      <c r="K35" s="187"/>
      <c r="L35" s="187"/>
      <c r="M35" s="187"/>
      <c r="N35" s="187"/>
      <c r="O35" s="187"/>
      <c r="P35" s="187" t="s">
        <v>25</v>
      </c>
      <c r="Q35" s="187"/>
      <c r="R35" s="187"/>
      <c r="S35" s="187"/>
      <c r="T35" s="187"/>
      <c r="U35" s="187"/>
      <c r="V35" s="187"/>
      <c r="W35" s="187" t="s">
        <v>25</v>
      </c>
      <c r="X35" s="187"/>
      <c r="Y35" s="187"/>
      <c r="Z35" s="187"/>
      <c r="AA35" s="187"/>
      <c r="AB35" s="187"/>
      <c r="AC35" s="187"/>
    </row>
    <row r="36" spans="2:38" ht="26.85" customHeight="1" x14ac:dyDescent="0.4">
      <c r="B36" s="218" t="s">
        <v>17</v>
      </c>
      <c r="C36" s="218"/>
      <c r="D36" s="218"/>
      <c r="E36" s="218"/>
      <c r="F36" s="218"/>
      <c r="G36" s="218"/>
      <c r="H36" s="218"/>
      <c r="I36" s="220">
        <f>計算の詳細!P18</f>
        <v>8400</v>
      </c>
      <c r="J36" s="221"/>
      <c r="K36" s="221"/>
      <c r="L36" s="221"/>
      <c r="M36" s="221"/>
      <c r="N36" s="221"/>
      <c r="O36" s="8" t="s">
        <v>6</v>
      </c>
      <c r="P36" s="222">
        <f>計算の詳細!P37</f>
        <v>3300.0000000000009</v>
      </c>
      <c r="Q36" s="223"/>
      <c r="R36" s="223"/>
      <c r="S36" s="223"/>
      <c r="T36" s="223"/>
      <c r="U36" s="223"/>
      <c r="V36" s="7" t="s">
        <v>6</v>
      </c>
      <c r="W36" s="224">
        <f>計算の詳細!P56</f>
        <v>0</v>
      </c>
      <c r="X36" s="225"/>
      <c r="Y36" s="225"/>
      <c r="Z36" s="225"/>
      <c r="AA36" s="225"/>
      <c r="AB36" s="225"/>
      <c r="AC36" s="30" t="s">
        <v>6</v>
      </c>
    </row>
    <row r="37" spans="2:38" ht="17.45" customHeight="1" thickBot="1" x14ac:dyDescent="0.45">
      <c r="I37" s="210" t="s">
        <v>26</v>
      </c>
      <c r="J37" s="210"/>
      <c r="K37" s="210"/>
      <c r="L37" s="210"/>
      <c r="M37" s="210"/>
      <c r="N37" s="210"/>
      <c r="O37" s="210"/>
      <c r="P37" s="210" t="s">
        <v>26</v>
      </c>
      <c r="Q37" s="210"/>
      <c r="R37" s="210"/>
      <c r="S37" s="210"/>
      <c r="T37" s="210"/>
      <c r="U37" s="210"/>
      <c r="V37" s="210"/>
      <c r="W37" s="210" t="s">
        <v>26</v>
      </c>
      <c r="X37" s="210"/>
      <c r="Y37" s="210"/>
      <c r="Z37" s="210"/>
      <c r="AA37" s="210"/>
      <c r="AB37" s="210"/>
      <c r="AC37" s="210"/>
      <c r="AF37" s="211" t="s">
        <v>27</v>
      </c>
      <c r="AG37" s="211"/>
      <c r="AH37" s="211"/>
      <c r="AI37" s="211"/>
      <c r="AJ37" s="211"/>
      <c r="AK37" s="211"/>
      <c r="AL37" s="211"/>
    </row>
    <row r="38" spans="2:38" ht="26.85" customHeight="1" thickTop="1" thickBot="1" x14ac:dyDescent="0.45">
      <c r="B38" s="202" t="s">
        <v>18</v>
      </c>
      <c r="C38" s="203"/>
      <c r="D38" s="203"/>
      <c r="E38" s="203"/>
      <c r="F38" s="203"/>
      <c r="G38" s="203"/>
      <c r="H38" s="203"/>
      <c r="I38" s="204">
        <f>計算の詳細!K20</f>
        <v>16800</v>
      </c>
      <c r="J38" s="205"/>
      <c r="K38" s="205"/>
      <c r="L38" s="205"/>
      <c r="M38" s="205"/>
      <c r="N38" s="205"/>
      <c r="O38" s="83" t="s">
        <v>6</v>
      </c>
      <c r="P38" s="206">
        <f>計算の詳細!K39</f>
        <v>6600</v>
      </c>
      <c r="Q38" s="207"/>
      <c r="R38" s="207"/>
      <c r="S38" s="207"/>
      <c r="T38" s="207"/>
      <c r="U38" s="207"/>
      <c r="V38" s="10" t="s">
        <v>6</v>
      </c>
      <c r="W38" s="208">
        <f>計算の詳細!K58</f>
        <v>0</v>
      </c>
      <c r="X38" s="209"/>
      <c r="Y38" s="209"/>
      <c r="Z38" s="209"/>
      <c r="AA38" s="209"/>
      <c r="AB38" s="209"/>
      <c r="AC38" s="85" t="s">
        <v>6</v>
      </c>
      <c r="AF38" s="212">
        <f>計算の詳細!P60</f>
        <v>23400</v>
      </c>
      <c r="AG38" s="213"/>
      <c r="AH38" s="213"/>
      <c r="AI38" s="213"/>
      <c r="AJ38" s="213"/>
      <c r="AK38" s="213"/>
      <c r="AL38" s="9" t="s">
        <v>6</v>
      </c>
    </row>
    <row r="39" spans="2:38" ht="5.25" customHeight="1" thickTop="1" x14ac:dyDescent="0.4"/>
    <row r="40" spans="2:38" ht="19.149999999999999" customHeight="1" x14ac:dyDescent="0.4">
      <c r="C40" s="3" t="s">
        <v>19</v>
      </c>
      <c r="X40" s="3" t="s">
        <v>20</v>
      </c>
      <c r="AF40" s="214">
        <f>計算の詳細!P62</f>
        <v>1950</v>
      </c>
      <c r="AG40" s="215"/>
      <c r="AH40" s="215"/>
      <c r="AI40" s="215"/>
      <c r="AJ40" s="215"/>
      <c r="AK40" s="215"/>
      <c r="AL40" s="5" t="s">
        <v>6</v>
      </c>
    </row>
    <row r="41" spans="2:38" ht="14.25" customHeight="1" x14ac:dyDescent="0.4">
      <c r="AF41" s="216" t="s">
        <v>21</v>
      </c>
      <c r="AG41" s="216"/>
      <c r="AH41" s="216"/>
      <c r="AI41" s="216"/>
      <c r="AJ41" s="216"/>
      <c r="AK41" s="216"/>
      <c r="AL41" s="2"/>
    </row>
    <row r="42" spans="2:38" ht="7.5" customHeight="1" thickBot="1" x14ac:dyDescent="0.45"/>
    <row r="43" spans="2:38" ht="24.4" customHeight="1" thickTop="1" thickBot="1" x14ac:dyDescent="0.45">
      <c r="B43" s="186" t="s">
        <v>22</v>
      </c>
      <c r="C43" s="186"/>
      <c r="D43" s="186"/>
      <c r="E43" s="186"/>
      <c r="F43" s="186"/>
      <c r="G43" s="186"/>
      <c r="H43" s="186"/>
      <c r="I43" s="188">
        <f>算出基礎表!M4</f>
        <v>660000</v>
      </c>
      <c r="J43" s="189"/>
      <c r="K43" s="189"/>
      <c r="L43" s="189"/>
      <c r="M43" s="189"/>
      <c r="N43" s="189"/>
      <c r="O43" s="84" t="s">
        <v>6</v>
      </c>
      <c r="P43" s="190">
        <f>算出基礎表!M5</f>
        <v>260000</v>
      </c>
      <c r="Q43" s="191"/>
      <c r="R43" s="191"/>
      <c r="S43" s="191"/>
      <c r="T43" s="191"/>
      <c r="U43" s="191"/>
      <c r="V43" s="10" t="s">
        <v>6</v>
      </c>
      <c r="W43" s="192">
        <f>算出基礎表!M6</f>
        <v>170000</v>
      </c>
      <c r="X43" s="193"/>
      <c r="Y43" s="193"/>
      <c r="Z43" s="193"/>
      <c r="AA43" s="193"/>
      <c r="AB43" s="193"/>
      <c r="AC43" s="85" t="s">
        <v>6</v>
      </c>
    </row>
    <row r="44" spans="2:38" ht="10.5" customHeight="1" thickTop="1" x14ac:dyDescent="0.4"/>
    <row r="45" spans="2:38" ht="25.5" customHeight="1" x14ac:dyDescent="0.4">
      <c r="C45" s="127" t="str">
        <f>IF(計算の詳細!G16="","","均等割、平等割が"&amp;SUM(算出基礎表!G37:G39)&amp;"割"&amp;"軽減されています。")&amp;IF(計算の詳細!G17="","","未就学児の均等割額が1/2軽減されています。")</f>
        <v>均等割、平等割が7割軽減されています。</v>
      </c>
    </row>
  </sheetData>
  <sheetProtection selectLockedCells="1"/>
  <mergeCells count="79"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AF23:AJ23"/>
    <mergeCell ref="E17:H17"/>
    <mergeCell ref="R17:V17"/>
    <mergeCell ref="Y17:AC17"/>
    <mergeCell ref="AF17:AJ17"/>
    <mergeCell ref="R19:V19"/>
    <mergeCell ref="Y19:AC19"/>
    <mergeCell ref="AF19:AJ19"/>
    <mergeCell ref="W30:AC30"/>
    <mergeCell ref="B32:H32"/>
    <mergeCell ref="B34:H34"/>
    <mergeCell ref="B36:H36"/>
    <mergeCell ref="I32:N32"/>
    <mergeCell ref="P32:U32"/>
    <mergeCell ref="W32:AB32"/>
    <mergeCell ref="I34:N34"/>
    <mergeCell ref="P34:U34"/>
    <mergeCell ref="B30:H30"/>
    <mergeCell ref="I30:O30"/>
    <mergeCell ref="P30:V30"/>
    <mergeCell ref="W34:AB34"/>
    <mergeCell ref="W36:AB36"/>
    <mergeCell ref="P36:U36"/>
    <mergeCell ref="I36:N36"/>
    <mergeCell ref="AF37:AL37"/>
    <mergeCell ref="AF38:AK38"/>
    <mergeCell ref="AF40:AK40"/>
    <mergeCell ref="AF41:AK41"/>
    <mergeCell ref="P37:V37"/>
    <mergeCell ref="B38:H38"/>
    <mergeCell ref="I38:N38"/>
    <mergeCell ref="P38:U38"/>
    <mergeCell ref="W38:AB38"/>
    <mergeCell ref="W37:AC37"/>
    <mergeCell ref="I37:O37"/>
    <mergeCell ref="J27:P27"/>
    <mergeCell ref="AF16:AJ16"/>
    <mergeCell ref="J21:P21"/>
    <mergeCell ref="J23:P23"/>
    <mergeCell ref="J25:P25"/>
    <mergeCell ref="R25:V25"/>
    <mergeCell ref="Y25:AC25"/>
    <mergeCell ref="AF25:AJ25"/>
    <mergeCell ref="R27:V27"/>
    <mergeCell ref="Y27:AC27"/>
    <mergeCell ref="AF27:AJ27"/>
    <mergeCell ref="R21:V21"/>
    <mergeCell ref="Y21:AC21"/>
    <mergeCell ref="AF21:AJ21"/>
    <mergeCell ref="R23:V23"/>
    <mergeCell ref="Y23:AC23"/>
    <mergeCell ref="AL16:AN16"/>
    <mergeCell ref="B43:H43"/>
    <mergeCell ref="I33:O33"/>
    <mergeCell ref="P33:V33"/>
    <mergeCell ref="W33:AC33"/>
    <mergeCell ref="I35:O35"/>
    <mergeCell ref="I43:N43"/>
    <mergeCell ref="P43:U43"/>
    <mergeCell ref="W43:AB43"/>
    <mergeCell ref="I16:P16"/>
    <mergeCell ref="R16:V16"/>
    <mergeCell ref="Y16:AC16"/>
    <mergeCell ref="P35:V35"/>
    <mergeCell ref="W35:AC35"/>
    <mergeCell ref="J17:P17"/>
    <mergeCell ref="J19:P19"/>
  </mergeCells>
  <phoneticPr fontId="3"/>
  <dataValidations count="3">
    <dataValidation type="list" allowBlank="1" showInputMessage="1" showErrorMessage="1" sqref="E17:H17" xr:uid="{00000000-0002-0000-0000-000000000000}">
      <formula1>"加入する,加入しない"</formula1>
    </dataValidation>
    <dataValidation type="list" allowBlank="1" showInputMessage="1" showErrorMessage="1" sqref="J17:P17 J21:P21 J23:P23 J25:P25 J27:P27 J19:P19" xr:uid="{00000000-0002-0000-0000-000002000000}">
      <formula1>"加入しない,未就学児,小学生から39歳まで,40歳から64歳まで,65歳から74歳まで"</formula1>
    </dataValidation>
    <dataValidation type="list" allowBlank="1" showInputMessage="1" showErrorMessage="1" sqref="AM17 AM19 AM21 AM23 AM25 AM27" xr:uid="{00000000-0002-0000-0000-000003000000}">
      <formula1>"○,　"</formula1>
    </dataValidation>
  </dataValidations>
  <pageMargins left="0.51181102362204722" right="0.19685039370078741" top="0.55118110236220474" bottom="0.35433070866141736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4000000}">
          <x14:formula1>
            <xm:f>ドロップダウンリスト!$C$3:$C$303</xm:f>
          </x14:formula1>
          <xm:sqref>R17:V17 Y17:AC17 AF17:AJ17 AF19:AJ19 Y19:AC19 R19:V19 R27:V27 Y21:AC21 AF21:AJ21 AF23:AJ23 Y23:AC23 R21:V21 R25:V25 Y25:AC25 AF25:AJ25 AF27:AJ27 Y27:AC27 R23:V23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64"/>
  <sheetViews>
    <sheetView showGridLines="0" view="pageBreakPreview" zoomScale="55" zoomScaleNormal="70" zoomScaleSheetLayoutView="55" workbookViewId="0">
      <selection activeCell="P15" sqref="P15:P17"/>
    </sheetView>
  </sheetViews>
  <sheetFormatPr defaultColWidth="2.75" defaultRowHeight="20.45" customHeight="1" x14ac:dyDescent="0.4"/>
  <cols>
    <col min="1" max="1" width="1.25" customWidth="1"/>
    <col min="2" max="2" width="1.375" customWidth="1"/>
    <col min="3" max="3" width="10.125" customWidth="1"/>
    <col min="4" max="4" width="11.125" customWidth="1"/>
    <col min="5" max="5" width="15.875" customWidth="1"/>
    <col min="6" max="6" width="4.125" customWidth="1"/>
    <col min="7" max="7" width="14.875" customWidth="1"/>
    <col min="8" max="8" width="3.75" customWidth="1"/>
    <col min="9" max="9" width="16.125" customWidth="1"/>
    <col min="10" max="10" width="4.625" customWidth="1"/>
    <col min="11" max="11" width="15.625" customWidth="1"/>
    <col min="12" max="12" width="3.5" customWidth="1"/>
    <col min="13" max="13" width="11.875" customWidth="1"/>
    <col min="14" max="14" width="1.625" customWidth="1"/>
    <col min="16" max="16" width="13.5" customWidth="1"/>
    <col min="17" max="17" width="3.5" customWidth="1"/>
    <col min="18" max="18" width="5.125" customWidth="1"/>
    <col min="20" max="20" width="1.875" customWidth="1"/>
  </cols>
  <sheetData>
    <row r="3" spans="3:19" ht="12.75" customHeight="1" x14ac:dyDescent="0.4"/>
    <row r="4" spans="3:19" ht="20.45" customHeight="1" x14ac:dyDescent="0.4">
      <c r="C4" s="231"/>
      <c r="E4" s="1"/>
      <c r="G4" s="13"/>
      <c r="I4" s="11"/>
      <c r="K4" s="1"/>
      <c r="M4" s="1"/>
    </row>
    <row r="5" spans="3:19" ht="20.45" customHeight="1" x14ac:dyDescent="0.4">
      <c r="C5" s="231"/>
      <c r="E5" s="1"/>
      <c r="G5" s="31"/>
      <c r="I5" s="1"/>
      <c r="K5" s="1"/>
      <c r="M5" s="1"/>
    </row>
    <row r="6" spans="3:19" s="32" customFormat="1" ht="20.45" customHeight="1" x14ac:dyDescent="0.4">
      <c r="C6" s="279" t="s">
        <v>15</v>
      </c>
      <c r="D6" s="33"/>
      <c r="E6" s="262" t="s">
        <v>29</v>
      </c>
      <c r="F6" s="33"/>
      <c r="G6" s="33" t="s">
        <v>30</v>
      </c>
      <c r="H6" s="33"/>
      <c r="I6" s="260" t="s">
        <v>31</v>
      </c>
      <c r="J6" s="33"/>
      <c r="K6" s="262" t="s">
        <v>32</v>
      </c>
      <c r="L6" s="33"/>
      <c r="M6" s="262" t="s">
        <v>33</v>
      </c>
      <c r="N6" s="33"/>
      <c r="O6" s="33"/>
      <c r="P6" s="33"/>
      <c r="Q6" s="33"/>
      <c r="R6" s="33"/>
      <c r="S6" s="34"/>
    </row>
    <row r="7" spans="3:19" s="32" customFormat="1" ht="20.45" customHeight="1" x14ac:dyDescent="0.4">
      <c r="C7" s="280"/>
      <c r="D7" s="35"/>
      <c r="E7" s="263"/>
      <c r="F7" s="35"/>
      <c r="G7" s="35" t="s">
        <v>135</v>
      </c>
      <c r="H7" s="35"/>
      <c r="I7" s="261"/>
      <c r="J7" s="35"/>
      <c r="K7" s="263"/>
      <c r="L7" s="35"/>
      <c r="M7" s="263"/>
      <c r="N7" s="35"/>
      <c r="O7" s="35"/>
      <c r="P7" s="35"/>
      <c r="Q7" s="35"/>
      <c r="R7" s="35"/>
      <c r="S7" s="36"/>
    </row>
    <row r="8" spans="3:19" s="32" customFormat="1" ht="20.45" customHeight="1" x14ac:dyDescent="0.4">
      <c r="C8" s="280"/>
      <c r="D8" s="37" t="s">
        <v>0</v>
      </c>
      <c r="E8" s="38" t="str">
        <f>IF(算出基礎表!B14=0,"",IF(算出基礎表!M14=0,"",算出基礎表!M14))</f>
        <v/>
      </c>
      <c r="F8" s="39" t="str">
        <f>IF(E8="","","ー")</f>
        <v/>
      </c>
      <c r="G8" s="38" t="str">
        <f>IF(E8&lt;=0,"",IF(E8="","",IF(E8&lt;=430000,E8,430000)))</f>
        <v/>
      </c>
      <c r="H8" s="39" t="str">
        <f>IF(E8="","","＝")</f>
        <v/>
      </c>
      <c r="I8" s="47" t="str">
        <f>IF(E8="","",IF(E8=G8,"0円",E8-G8))</f>
        <v/>
      </c>
      <c r="J8" s="40"/>
      <c r="K8" s="40"/>
      <c r="L8" s="40"/>
      <c r="M8" s="271">
        <f>算出基礎表!J4</f>
        <v>7.5399999999999995E-2</v>
      </c>
      <c r="N8" s="37"/>
      <c r="O8" s="35"/>
      <c r="P8" s="265">
        <f>IF(K10="",0,ROUNDDOWN(K10*M8,0))</f>
        <v>0</v>
      </c>
      <c r="Q8" s="268" t="s">
        <v>6</v>
      </c>
      <c r="R8" s="266" t="s">
        <v>36</v>
      </c>
      <c r="S8" s="267"/>
    </row>
    <row r="9" spans="3:19" s="32" customFormat="1" ht="20.45" customHeight="1" x14ac:dyDescent="0.4">
      <c r="C9" s="280"/>
      <c r="D9" s="41" t="s">
        <v>1</v>
      </c>
      <c r="E9" s="42" t="str">
        <f>IF(算出基礎表!B15=0,"",IF(算出基礎表!M15=0,"",算出基礎表!M15))</f>
        <v/>
      </c>
      <c r="F9" s="43" t="str">
        <f t="shared" ref="F9:F13" si="0">IF(E9="","","ー")</f>
        <v/>
      </c>
      <c r="G9" s="42" t="str">
        <f>IF(E9&lt;=0,"",IF(E9="","",IF(E9&lt;=430000,E9,430000)))</f>
        <v/>
      </c>
      <c r="H9" s="43" t="str">
        <f t="shared" ref="H9:H13" si="1">IF(E9="","","＝")</f>
        <v/>
      </c>
      <c r="I9" s="44" t="str">
        <f t="shared" ref="I9:I13" si="2">IF(E9="","",IF(E9=G9,"0円",E9-G9))</f>
        <v/>
      </c>
      <c r="J9" s="45"/>
      <c r="K9" s="46"/>
      <c r="L9" s="45"/>
      <c r="M9" s="274"/>
      <c r="N9" s="41"/>
      <c r="O9" s="35"/>
      <c r="P9" s="265"/>
      <c r="Q9" s="268"/>
      <c r="R9" s="266"/>
      <c r="S9" s="267"/>
    </row>
    <row r="10" spans="3:19" s="32" customFormat="1" ht="20.45" customHeight="1" x14ac:dyDescent="0.4">
      <c r="C10" s="280"/>
      <c r="D10" s="37" t="s">
        <v>2</v>
      </c>
      <c r="E10" s="38" t="str">
        <f>IF(算出基礎表!B16=0,"",IF(算出基礎表!M16=0,"",算出基礎表!M16))</f>
        <v/>
      </c>
      <c r="F10" s="39" t="str">
        <f t="shared" si="0"/>
        <v/>
      </c>
      <c r="G10" s="38" t="str">
        <f t="shared" ref="G10:G12" si="3">IF(E10&lt;=0,"",IF(E10="","",IF(E10&lt;=430000,E10,430000)))</f>
        <v/>
      </c>
      <c r="H10" s="39" t="str">
        <f t="shared" si="1"/>
        <v/>
      </c>
      <c r="I10" s="47" t="str">
        <f t="shared" si="2"/>
        <v/>
      </c>
      <c r="J10" s="40"/>
      <c r="K10" s="269" t="str">
        <f>IF(SUM(I8:I13)=0,"",SUM(I8:I13))</f>
        <v/>
      </c>
      <c r="L10" s="37"/>
      <c r="M10" s="274"/>
      <c r="N10" s="37"/>
      <c r="O10" s="35"/>
      <c r="P10" s="265"/>
      <c r="Q10" s="268"/>
      <c r="R10" s="266"/>
      <c r="S10" s="267"/>
    </row>
    <row r="11" spans="3:19" s="32" customFormat="1" ht="20.45" customHeight="1" x14ac:dyDescent="0.4">
      <c r="C11" s="280"/>
      <c r="D11" s="41" t="s">
        <v>3</v>
      </c>
      <c r="E11" s="42" t="str">
        <f>IF(算出基礎表!B17=0,"",IF(算出基礎表!M17=0,"",算出基礎表!M17))</f>
        <v/>
      </c>
      <c r="F11" s="43" t="str">
        <f t="shared" si="0"/>
        <v/>
      </c>
      <c r="G11" s="42" t="str">
        <f t="shared" si="3"/>
        <v/>
      </c>
      <c r="H11" s="43" t="str">
        <f t="shared" si="1"/>
        <v/>
      </c>
      <c r="I11" s="44" t="str">
        <f t="shared" si="2"/>
        <v/>
      </c>
      <c r="J11" s="45"/>
      <c r="K11" s="270"/>
      <c r="L11" s="41"/>
      <c r="M11" s="274"/>
      <c r="N11" s="41"/>
      <c r="O11" s="35"/>
      <c r="P11" s="265"/>
      <c r="Q11" s="268"/>
      <c r="R11" s="266"/>
      <c r="S11" s="267"/>
    </row>
    <row r="12" spans="3:19" s="32" customFormat="1" ht="20.45" customHeight="1" x14ac:dyDescent="0.4">
      <c r="C12" s="280"/>
      <c r="D12" s="37" t="s">
        <v>4</v>
      </c>
      <c r="E12" s="38" t="str">
        <f>IF(算出基礎表!B18=0,"",IF(算出基礎表!M18=0,"",算出基礎表!M18))</f>
        <v/>
      </c>
      <c r="F12" s="39" t="str">
        <f t="shared" si="0"/>
        <v/>
      </c>
      <c r="G12" s="38" t="str">
        <f t="shared" si="3"/>
        <v/>
      </c>
      <c r="H12" s="39" t="str">
        <f t="shared" si="1"/>
        <v/>
      </c>
      <c r="I12" s="47" t="str">
        <f t="shared" si="2"/>
        <v/>
      </c>
      <c r="J12" s="40"/>
      <c r="K12" s="40"/>
      <c r="L12" s="40"/>
      <c r="M12" s="274"/>
      <c r="N12" s="37"/>
      <c r="O12" s="35"/>
      <c r="P12" s="265"/>
      <c r="Q12" s="268"/>
      <c r="R12" s="266"/>
      <c r="S12" s="267"/>
    </row>
    <row r="13" spans="3:19" s="32" customFormat="1" ht="20.45" customHeight="1" x14ac:dyDescent="0.4">
      <c r="C13" s="280"/>
      <c r="D13" s="48" t="s">
        <v>5</v>
      </c>
      <c r="E13" s="49" t="str">
        <f>IF(算出基礎表!B19=0,"",IF(算出基礎表!M19=0,"",算出基礎表!M19))</f>
        <v/>
      </c>
      <c r="F13" s="50" t="str">
        <f t="shared" si="0"/>
        <v/>
      </c>
      <c r="G13" s="49" t="str">
        <f>IF(E13&lt;=0,"",IF(E13="","",IF(E13&lt;=430000,E13,430000)))</f>
        <v/>
      </c>
      <c r="H13" s="50" t="str">
        <f t="shared" si="1"/>
        <v/>
      </c>
      <c r="I13" s="86" t="str">
        <f t="shared" si="2"/>
        <v/>
      </c>
      <c r="J13" s="51"/>
      <c r="K13" s="51"/>
      <c r="L13" s="51"/>
      <c r="M13" s="275"/>
      <c r="N13" s="48"/>
      <c r="O13" s="35"/>
      <c r="P13" s="265"/>
      <c r="Q13" s="268"/>
      <c r="R13" s="266"/>
      <c r="S13" s="267"/>
    </row>
    <row r="14" spans="3:19" s="32" customFormat="1" ht="10.15" customHeight="1" x14ac:dyDescent="0.4">
      <c r="C14" s="28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  <c r="Q14" s="54"/>
      <c r="R14" s="55"/>
      <c r="S14" s="56"/>
    </row>
    <row r="15" spans="3:19" s="32" customFormat="1" ht="20.45" customHeight="1" x14ac:dyDescent="0.4">
      <c r="C15" s="279" t="s">
        <v>16</v>
      </c>
      <c r="D15" s="57"/>
      <c r="E15" s="58"/>
      <c r="F15" s="58"/>
      <c r="G15" s="58" t="s">
        <v>39</v>
      </c>
      <c r="H15" s="58"/>
      <c r="I15" s="59">
        <f>算出基礎表!K4</f>
        <v>28000</v>
      </c>
      <c r="J15" s="61" t="s">
        <v>41</v>
      </c>
      <c r="K15" s="60">
        <f>算出基礎表!B20</f>
        <v>1</v>
      </c>
      <c r="L15" s="61" t="s">
        <v>26</v>
      </c>
      <c r="M15" s="62">
        <f>I15*K15</f>
        <v>28000</v>
      </c>
      <c r="N15" s="58"/>
      <c r="O15" s="33"/>
      <c r="P15" s="248">
        <f>SUM(M15:M17)</f>
        <v>8400</v>
      </c>
      <c r="Q15" s="258" t="s">
        <v>6</v>
      </c>
      <c r="R15" s="250" t="s">
        <v>37</v>
      </c>
      <c r="S15" s="251"/>
    </row>
    <row r="16" spans="3:19" s="32" customFormat="1" ht="20.45" customHeight="1" x14ac:dyDescent="0.4">
      <c r="C16" s="280"/>
      <c r="D16" s="63"/>
      <c r="E16" s="243" t="str">
        <f>IF(G16="","","減額：")</f>
        <v>減額：</v>
      </c>
      <c r="F16" s="243"/>
      <c r="G16" s="64" t="str">
        <f>IF(SUM(算出基礎表!G37:G40)=7,"７割",IF(SUM(算出基礎表!G37:G40)=5,"５割",IF(SUM(算出基礎表!G37:G40)=2,"２割","")))</f>
        <v>７割</v>
      </c>
      <c r="H16" s="64"/>
      <c r="I16" s="65">
        <f>IF(G16="","",IF(G16="２割",I15*-0.2,IF(G16="５割",I15*-0.5,IF(G16="７割",I15*-0.7))))</f>
        <v>-19600</v>
      </c>
      <c r="J16" s="67" t="str">
        <f>IF(I16="","","×")</f>
        <v>×</v>
      </c>
      <c r="K16" s="66">
        <f>IF(G16="","",K15)</f>
        <v>1</v>
      </c>
      <c r="L16" s="67" t="str">
        <f>IF(G16="","","=")</f>
        <v>=</v>
      </c>
      <c r="M16" s="68">
        <f>IF(G16="","",I16*K16)</f>
        <v>-19600</v>
      </c>
      <c r="N16" s="64"/>
      <c r="O16" s="35"/>
      <c r="P16" s="265"/>
      <c r="Q16" s="268"/>
      <c r="R16" s="266"/>
      <c r="S16" s="267"/>
    </row>
    <row r="17" spans="3:19" s="32" customFormat="1" ht="20.45" customHeight="1" x14ac:dyDescent="0.4">
      <c r="C17" s="281"/>
      <c r="D17" s="69"/>
      <c r="E17" s="244" t="str">
        <f>IF(G17="","","減額：")</f>
        <v/>
      </c>
      <c r="F17" s="244"/>
      <c r="G17" s="70" t="str">
        <f>IF(算出基礎表!E20&gt;0,"未就学児","")</f>
        <v/>
      </c>
      <c r="H17" s="70"/>
      <c r="I17" s="71" t="str">
        <f>IF(G17="","",IF(I16="",I15*-0.5,IF(G16="２割",I15*0.8*-0.5,IF(G16="５割",I15*0.5*-0.5,IF(G16="７割",I15*0.3*-0.5)))))</f>
        <v/>
      </c>
      <c r="J17" s="73" t="str">
        <f>IF(I17="","","×")</f>
        <v/>
      </c>
      <c r="K17" s="72" t="str">
        <f>IF(G17="","",算出基礎表!E20)</f>
        <v/>
      </c>
      <c r="L17" s="73" t="str">
        <f>IF(G17="","","=")</f>
        <v/>
      </c>
      <c r="M17" s="74" t="str">
        <f>IF(G17="","",I17*K17)</f>
        <v/>
      </c>
      <c r="N17" s="70"/>
      <c r="O17" s="52"/>
      <c r="P17" s="249"/>
      <c r="Q17" s="259"/>
      <c r="R17" s="252"/>
      <c r="S17" s="253"/>
    </row>
    <row r="18" spans="3:19" s="32" customFormat="1" ht="20.45" customHeight="1" x14ac:dyDescent="0.4">
      <c r="C18" s="280" t="s">
        <v>28</v>
      </c>
      <c r="D18" s="57"/>
      <c r="E18" s="58"/>
      <c r="F18" s="58"/>
      <c r="G18" s="58" t="s">
        <v>40</v>
      </c>
      <c r="H18" s="58"/>
      <c r="I18" s="59">
        <f>算出基礎表!L4</f>
        <v>28000</v>
      </c>
      <c r="J18" s="61"/>
      <c r="K18" s="58"/>
      <c r="L18" s="58"/>
      <c r="M18" s="58"/>
      <c r="N18" s="58"/>
      <c r="O18" s="33"/>
      <c r="P18" s="248">
        <f>IF(K15=0,0,SUM(I18:I19))</f>
        <v>8400</v>
      </c>
      <c r="Q18" s="258" t="s">
        <v>6</v>
      </c>
      <c r="R18" s="250" t="s">
        <v>38</v>
      </c>
      <c r="S18" s="251"/>
    </row>
    <row r="19" spans="3:19" s="32" customFormat="1" ht="20.45" customHeight="1" x14ac:dyDescent="0.4">
      <c r="C19" s="280"/>
      <c r="D19" s="75"/>
      <c r="E19" s="245" t="str">
        <f>IF(G19="","","減額：")</f>
        <v>減額：</v>
      </c>
      <c r="F19" s="245"/>
      <c r="G19" s="76" t="str">
        <f>G16</f>
        <v>７割</v>
      </c>
      <c r="H19" s="76"/>
      <c r="I19" s="77">
        <f>IF(G19="","",IF(G19="２割",I18*-0.2,IF(G19="５割",I18*-0.5,IF(G19="７割",I18*-0.7))))</f>
        <v>-19600</v>
      </c>
      <c r="J19" s="90"/>
      <c r="K19" s="76"/>
      <c r="L19" s="76"/>
      <c r="M19" s="76"/>
      <c r="N19" s="76"/>
      <c r="O19" s="52"/>
      <c r="P19" s="249"/>
      <c r="Q19" s="259"/>
      <c r="R19" s="252"/>
      <c r="S19" s="253"/>
    </row>
    <row r="20" spans="3:19" s="32" customFormat="1" ht="36.950000000000003" customHeight="1" x14ac:dyDescent="0.4">
      <c r="C20" s="282" t="s">
        <v>34</v>
      </c>
      <c r="D20" s="283"/>
      <c r="E20" s="284"/>
      <c r="F20" s="246" t="str">
        <f>"賦課限度額（"&amp;算出基礎表!M4/10000&amp;"万円）"</f>
        <v>賦課限度額（66万円）</v>
      </c>
      <c r="G20" s="247"/>
      <c r="H20" s="247"/>
      <c r="I20" s="78"/>
      <c r="J20" s="78"/>
      <c r="K20" s="254">
        <f>IF(SUM(P8:P19)&lt;=算出基礎表!M4,ROUNDDOWN(P8+P15+P18,-2),算出基礎表!M4)</f>
        <v>16800</v>
      </c>
      <c r="L20" s="254"/>
      <c r="M20" s="255" t="s">
        <v>35</v>
      </c>
      <c r="N20" s="255"/>
      <c r="O20" s="255"/>
      <c r="P20" s="255"/>
      <c r="Q20" s="78"/>
      <c r="R20" s="256" t="s">
        <v>136</v>
      </c>
      <c r="S20" s="257"/>
    </row>
    <row r="21" spans="3:19" ht="13.5" customHeight="1" x14ac:dyDescent="0.4"/>
    <row r="22" spans="3:19" ht="13.5" customHeight="1" x14ac:dyDescent="0.4"/>
    <row r="23" spans="3:19" ht="20.45" customHeight="1" x14ac:dyDescent="0.4">
      <c r="C23" s="231"/>
      <c r="E23" s="1"/>
      <c r="I23" s="11"/>
      <c r="K23" s="1"/>
      <c r="M23" s="1"/>
    </row>
    <row r="24" spans="3:19" ht="20.45" customHeight="1" x14ac:dyDescent="0.4">
      <c r="C24" s="231"/>
      <c r="E24" s="1"/>
      <c r="G24" s="31"/>
      <c r="I24" s="1"/>
      <c r="K24" s="1"/>
      <c r="M24" s="1"/>
    </row>
    <row r="25" spans="3:19" ht="20.45" customHeight="1" x14ac:dyDescent="0.4">
      <c r="C25" s="285" t="s">
        <v>112</v>
      </c>
      <c r="D25" s="33"/>
      <c r="E25" s="262" t="s">
        <v>113</v>
      </c>
      <c r="F25" s="33"/>
      <c r="G25" s="33" t="s">
        <v>114</v>
      </c>
      <c r="H25" s="33"/>
      <c r="I25" s="260" t="s">
        <v>115</v>
      </c>
      <c r="J25" s="33"/>
      <c r="K25" s="262" t="s">
        <v>116</v>
      </c>
      <c r="L25" s="33"/>
      <c r="M25" s="262" t="s">
        <v>117</v>
      </c>
      <c r="N25" s="33"/>
      <c r="O25" s="33"/>
      <c r="P25" s="33"/>
      <c r="Q25" s="33"/>
      <c r="R25" s="33"/>
      <c r="S25" s="34"/>
    </row>
    <row r="26" spans="3:19" ht="20.45" customHeight="1" x14ac:dyDescent="0.4">
      <c r="C26" s="293"/>
      <c r="D26" s="35"/>
      <c r="E26" s="263"/>
      <c r="F26" s="35"/>
      <c r="G26" s="35" t="s">
        <v>135</v>
      </c>
      <c r="H26" s="35"/>
      <c r="I26" s="261"/>
      <c r="J26" s="35"/>
      <c r="K26" s="263"/>
      <c r="L26" s="35"/>
      <c r="M26" s="264"/>
      <c r="N26" s="35"/>
      <c r="O26" s="35"/>
      <c r="P26" s="35"/>
      <c r="Q26" s="35"/>
      <c r="R26" s="35"/>
      <c r="S26" s="36"/>
    </row>
    <row r="27" spans="3:19" ht="20.45" customHeight="1" x14ac:dyDescent="0.4">
      <c r="C27" s="293"/>
      <c r="D27" s="37" t="s">
        <v>118</v>
      </c>
      <c r="E27" s="38" t="str">
        <f>E8</f>
        <v/>
      </c>
      <c r="F27" s="38" t="str">
        <f>F8</f>
        <v/>
      </c>
      <c r="G27" s="38" t="str">
        <f>G8</f>
        <v/>
      </c>
      <c r="H27" s="38" t="str">
        <f>H8</f>
        <v/>
      </c>
      <c r="I27" s="47" t="str">
        <f>I8</f>
        <v/>
      </c>
      <c r="J27" s="40"/>
      <c r="K27" s="40"/>
      <c r="L27" s="40"/>
      <c r="M27" s="271">
        <f>算出基礎表!J5</f>
        <v>3.09E-2</v>
      </c>
      <c r="N27" s="37"/>
      <c r="O27" s="35"/>
      <c r="P27" s="265">
        <f>IF(K29="",0,ROUNDDOWN(K29*M27,0))</f>
        <v>0</v>
      </c>
      <c r="Q27" s="268" t="s">
        <v>6</v>
      </c>
      <c r="R27" s="266" t="s">
        <v>119</v>
      </c>
      <c r="S27" s="267"/>
    </row>
    <row r="28" spans="3:19" ht="20.45" customHeight="1" x14ac:dyDescent="0.4">
      <c r="C28" s="293"/>
      <c r="D28" s="41" t="s">
        <v>120</v>
      </c>
      <c r="E28" s="79" t="str">
        <f t="shared" ref="E28:F32" si="4">E9</f>
        <v/>
      </c>
      <c r="F28" s="45" t="str">
        <f t="shared" si="4"/>
        <v/>
      </c>
      <c r="G28" s="79" t="str">
        <f t="shared" ref="G28:H31" si="5">G9</f>
        <v/>
      </c>
      <c r="H28" s="45" t="str">
        <f t="shared" si="5"/>
        <v/>
      </c>
      <c r="I28" s="87" t="str">
        <f t="shared" ref="I28:I32" si="6">I9</f>
        <v/>
      </c>
      <c r="J28" s="45"/>
      <c r="K28" s="46"/>
      <c r="L28" s="45"/>
      <c r="M28" s="272"/>
      <c r="N28" s="41"/>
      <c r="O28" s="35"/>
      <c r="P28" s="265"/>
      <c r="Q28" s="268"/>
      <c r="R28" s="266"/>
      <c r="S28" s="267"/>
    </row>
    <row r="29" spans="3:19" ht="20.45" customHeight="1" x14ac:dyDescent="0.4">
      <c r="C29" s="293"/>
      <c r="D29" s="37" t="s">
        <v>121</v>
      </c>
      <c r="E29" s="80" t="str">
        <f t="shared" si="4"/>
        <v/>
      </c>
      <c r="F29" s="40" t="str">
        <f t="shared" si="4"/>
        <v/>
      </c>
      <c r="G29" s="80" t="str">
        <f t="shared" si="5"/>
        <v/>
      </c>
      <c r="H29" s="40" t="str">
        <f>H10</f>
        <v/>
      </c>
      <c r="I29" s="88" t="str">
        <f t="shared" si="6"/>
        <v/>
      </c>
      <c r="J29" s="40"/>
      <c r="K29" s="269" t="str">
        <f>IF(SUM(I27:I32)=0,"",SUM(I27:I32))</f>
        <v/>
      </c>
      <c r="L29" s="37"/>
      <c r="M29" s="272"/>
      <c r="N29" s="37"/>
      <c r="O29" s="35"/>
      <c r="P29" s="265"/>
      <c r="Q29" s="268"/>
      <c r="R29" s="266"/>
      <c r="S29" s="267"/>
    </row>
    <row r="30" spans="3:19" ht="20.45" customHeight="1" x14ac:dyDescent="0.4">
      <c r="C30" s="293"/>
      <c r="D30" s="41" t="s">
        <v>122</v>
      </c>
      <c r="E30" s="79" t="str">
        <f t="shared" si="4"/>
        <v/>
      </c>
      <c r="F30" s="45" t="str">
        <f t="shared" si="4"/>
        <v/>
      </c>
      <c r="G30" s="79" t="str">
        <f t="shared" si="5"/>
        <v/>
      </c>
      <c r="H30" s="45" t="str">
        <f t="shared" si="5"/>
        <v/>
      </c>
      <c r="I30" s="87" t="str">
        <f t="shared" si="6"/>
        <v/>
      </c>
      <c r="J30" s="45"/>
      <c r="K30" s="270"/>
      <c r="L30" s="41"/>
      <c r="M30" s="272"/>
      <c r="N30" s="41"/>
      <c r="O30" s="35"/>
      <c r="P30" s="265"/>
      <c r="Q30" s="268"/>
      <c r="R30" s="266"/>
      <c r="S30" s="267"/>
    </row>
    <row r="31" spans="3:19" ht="20.45" customHeight="1" x14ac:dyDescent="0.4">
      <c r="C31" s="293"/>
      <c r="D31" s="37" t="s">
        <v>123</v>
      </c>
      <c r="E31" s="80" t="str">
        <f t="shared" si="4"/>
        <v/>
      </c>
      <c r="F31" s="40" t="str">
        <f t="shared" si="4"/>
        <v/>
      </c>
      <c r="G31" s="80" t="str">
        <f t="shared" si="5"/>
        <v/>
      </c>
      <c r="H31" s="40" t="str">
        <f t="shared" si="5"/>
        <v/>
      </c>
      <c r="I31" s="88" t="str">
        <f t="shared" si="6"/>
        <v/>
      </c>
      <c r="J31" s="40"/>
      <c r="K31" s="40"/>
      <c r="L31" s="40"/>
      <c r="M31" s="272"/>
      <c r="N31" s="37"/>
      <c r="O31" s="35"/>
      <c r="P31" s="265"/>
      <c r="Q31" s="268"/>
      <c r="R31" s="266"/>
      <c r="S31" s="267"/>
    </row>
    <row r="32" spans="3:19" ht="20.45" customHeight="1" x14ac:dyDescent="0.4">
      <c r="C32" s="293"/>
      <c r="D32" s="48" t="s">
        <v>124</v>
      </c>
      <c r="E32" s="81" t="str">
        <f t="shared" si="4"/>
        <v/>
      </c>
      <c r="F32" s="51" t="str">
        <f t="shared" si="4"/>
        <v/>
      </c>
      <c r="G32" s="81" t="str">
        <f>G13</f>
        <v/>
      </c>
      <c r="H32" s="51" t="str">
        <f t="shared" ref="H32" si="7">H13</f>
        <v/>
      </c>
      <c r="I32" s="89" t="str">
        <f t="shared" si="6"/>
        <v/>
      </c>
      <c r="J32" s="51"/>
      <c r="K32" s="51"/>
      <c r="L32" s="51"/>
      <c r="M32" s="273"/>
      <c r="N32" s="48"/>
      <c r="O32" s="35"/>
      <c r="P32" s="265"/>
      <c r="Q32" s="268"/>
      <c r="R32" s="266"/>
      <c r="S32" s="267"/>
    </row>
    <row r="33" spans="3:19" ht="10.15" customHeight="1" x14ac:dyDescent="0.4">
      <c r="C33" s="286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  <c r="Q33" s="54"/>
      <c r="R33" s="55"/>
      <c r="S33" s="56"/>
    </row>
    <row r="34" spans="3:19" ht="20.45" customHeight="1" x14ac:dyDescent="0.4">
      <c r="C34" s="285" t="s">
        <v>125</v>
      </c>
      <c r="D34" s="57"/>
      <c r="E34" s="58"/>
      <c r="F34" s="58"/>
      <c r="G34" s="58" t="s">
        <v>126</v>
      </c>
      <c r="H34" s="58"/>
      <c r="I34" s="59">
        <f>算出基礎表!K5</f>
        <v>11000</v>
      </c>
      <c r="J34" s="61" t="s">
        <v>127</v>
      </c>
      <c r="K34" s="60">
        <f>K15</f>
        <v>1</v>
      </c>
      <c r="L34" s="61" t="s">
        <v>128</v>
      </c>
      <c r="M34" s="128">
        <f>I34*K34</f>
        <v>11000</v>
      </c>
      <c r="N34" s="58"/>
      <c r="O34" s="33"/>
      <c r="P34" s="248">
        <f>SUM(M34:M36)</f>
        <v>3300.0000000000009</v>
      </c>
      <c r="Q34" s="258" t="s">
        <v>6</v>
      </c>
      <c r="R34" s="250" t="s">
        <v>129</v>
      </c>
      <c r="S34" s="251"/>
    </row>
    <row r="35" spans="3:19" ht="20.45" customHeight="1" x14ac:dyDescent="0.4">
      <c r="C35" s="293"/>
      <c r="D35" s="63"/>
      <c r="E35" s="243" t="str">
        <f>IF(G35="","","減額：")</f>
        <v>減額：</v>
      </c>
      <c r="F35" s="243"/>
      <c r="G35" s="64" t="str">
        <f>G16</f>
        <v>７割</v>
      </c>
      <c r="H35" s="64"/>
      <c r="I35" s="65">
        <f>IF(G35="","",IF(G35="２割",I34*-0.2,IF(G35="５割",I34*-0.5,IF(G35="７割",I34*-0.7))))</f>
        <v>-7699.9999999999991</v>
      </c>
      <c r="J35" s="67" t="str">
        <f>IF(I35="","","×")</f>
        <v>×</v>
      </c>
      <c r="K35" s="66">
        <f>IF(G35="","",K34)</f>
        <v>1</v>
      </c>
      <c r="L35" s="67" t="str">
        <f>IF(G35="","","=")</f>
        <v>=</v>
      </c>
      <c r="M35" s="120">
        <f>IF(G35="","",I35*K35)</f>
        <v>-7699.9999999999991</v>
      </c>
      <c r="N35" s="64"/>
      <c r="O35" s="35"/>
      <c r="P35" s="265"/>
      <c r="Q35" s="268"/>
      <c r="R35" s="266"/>
      <c r="S35" s="267"/>
    </row>
    <row r="36" spans="3:19" ht="20.45" customHeight="1" x14ac:dyDescent="0.4">
      <c r="C36" s="286"/>
      <c r="D36" s="69"/>
      <c r="E36" s="244" t="str">
        <f>IF(G36="","","減額：")</f>
        <v/>
      </c>
      <c r="F36" s="244"/>
      <c r="G36" s="70" t="str">
        <f>G17</f>
        <v/>
      </c>
      <c r="H36" s="70"/>
      <c r="I36" s="71" t="str">
        <f>IF(G36="","",IF(I35="",I34*-0.5,IF(G35="２割",I34*0.8*-0.5,IF(G35="５割",I34*0.5*-0.5,IF(G35="７割",I34*0.3*-0.5)))))</f>
        <v/>
      </c>
      <c r="J36" s="73" t="str">
        <f>IF(I36="","","×")</f>
        <v/>
      </c>
      <c r="K36" s="72" t="str">
        <f>K17</f>
        <v/>
      </c>
      <c r="L36" s="73" t="str">
        <f>IF(G36="","","=")</f>
        <v/>
      </c>
      <c r="M36" s="121" t="str">
        <f>IF(G36="","",I36*K36)</f>
        <v/>
      </c>
      <c r="N36" s="70"/>
      <c r="O36" s="52"/>
      <c r="P36" s="249"/>
      <c r="Q36" s="259"/>
      <c r="R36" s="252"/>
      <c r="S36" s="253"/>
    </row>
    <row r="37" spans="3:19" ht="20.45" customHeight="1" x14ac:dyDescent="0.4">
      <c r="C37" s="285" t="s">
        <v>130</v>
      </c>
      <c r="D37" s="57"/>
      <c r="E37" s="58"/>
      <c r="F37" s="58"/>
      <c r="G37" s="58" t="s">
        <v>131</v>
      </c>
      <c r="H37" s="58"/>
      <c r="I37" s="59">
        <f>算出基礎表!L5</f>
        <v>11000</v>
      </c>
      <c r="J37" s="61"/>
      <c r="K37" s="58"/>
      <c r="L37" s="58"/>
      <c r="M37" s="58"/>
      <c r="N37" s="58"/>
      <c r="O37" s="33"/>
      <c r="P37" s="248">
        <f>IF(K34=0,0,SUM(I37:I38))</f>
        <v>3300.0000000000009</v>
      </c>
      <c r="Q37" s="258" t="s">
        <v>6</v>
      </c>
      <c r="R37" s="250" t="s">
        <v>132</v>
      </c>
      <c r="S37" s="251"/>
    </row>
    <row r="38" spans="3:19" ht="20.45" customHeight="1" x14ac:dyDescent="0.4">
      <c r="C38" s="286"/>
      <c r="D38" s="75"/>
      <c r="E38" s="245" t="str">
        <f>IF(G38="","","減額：")</f>
        <v>減額：</v>
      </c>
      <c r="F38" s="245"/>
      <c r="G38" s="76" t="str">
        <f>G16</f>
        <v>７割</v>
      </c>
      <c r="H38" s="76"/>
      <c r="I38" s="77">
        <f>IF(G38="","",IF(G38="２割",I37*-0.2,IF(G38="５割",I37*-0.5,IF(G38="７割",I37*-0.7))))</f>
        <v>-7699.9999999999991</v>
      </c>
      <c r="J38" s="76"/>
      <c r="K38" s="76"/>
      <c r="L38" s="76"/>
      <c r="M38" s="76"/>
      <c r="N38" s="76"/>
      <c r="O38" s="52"/>
      <c r="P38" s="249"/>
      <c r="Q38" s="259"/>
      <c r="R38" s="252"/>
      <c r="S38" s="253"/>
    </row>
    <row r="39" spans="3:19" ht="36.950000000000003" customHeight="1" x14ac:dyDescent="0.4">
      <c r="C39" s="287" t="s">
        <v>134</v>
      </c>
      <c r="D39" s="288"/>
      <c r="E39" s="289"/>
      <c r="F39" s="246" t="str">
        <f>"賦課限度額（"&amp;算出基礎表!M5/10000&amp;"万円）"</f>
        <v>賦課限度額（26万円）</v>
      </c>
      <c r="G39" s="247"/>
      <c r="H39" s="247"/>
      <c r="I39" s="78"/>
      <c r="J39" s="78"/>
      <c r="K39" s="254">
        <f>IF((P27+P34+P37)&lt;=算出基礎表!M5,ROUNDDOWN(P27+P34+P37,-2),算出基礎表!M5)</f>
        <v>6600</v>
      </c>
      <c r="L39" s="254"/>
      <c r="M39" s="255" t="s">
        <v>133</v>
      </c>
      <c r="N39" s="255"/>
      <c r="O39" s="255"/>
      <c r="P39" s="255"/>
      <c r="Q39" s="78"/>
      <c r="R39" s="256" t="s">
        <v>137</v>
      </c>
      <c r="S39" s="257"/>
    </row>
    <row r="40" spans="3:19" ht="13.35" customHeight="1" x14ac:dyDescent="0.4"/>
    <row r="41" spans="3:19" ht="13.35" customHeight="1" x14ac:dyDescent="0.4"/>
    <row r="42" spans="3:19" ht="22.15" customHeight="1" x14ac:dyDescent="0.4">
      <c r="C42" s="231"/>
      <c r="E42" s="1"/>
      <c r="I42" s="11"/>
      <c r="K42" s="1"/>
      <c r="M42" s="1"/>
    </row>
    <row r="43" spans="3:19" ht="20.45" customHeight="1" x14ac:dyDescent="0.4">
      <c r="C43" s="231"/>
      <c r="E43" s="1"/>
      <c r="G43" s="31"/>
      <c r="I43" s="1"/>
      <c r="K43" s="1"/>
      <c r="M43" s="1"/>
    </row>
    <row r="44" spans="3:19" ht="20.45" customHeight="1" x14ac:dyDescent="0.4">
      <c r="C44" s="290" t="s">
        <v>112</v>
      </c>
      <c r="D44" s="33"/>
      <c r="E44" s="262" t="s">
        <v>113</v>
      </c>
      <c r="F44" s="33"/>
      <c r="G44" s="33" t="s">
        <v>114</v>
      </c>
      <c r="H44" s="33"/>
      <c r="I44" s="260" t="s">
        <v>115</v>
      </c>
      <c r="J44" s="33"/>
      <c r="K44" s="262" t="s">
        <v>116</v>
      </c>
      <c r="L44" s="33"/>
      <c r="M44" s="262" t="s">
        <v>117</v>
      </c>
      <c r="N44" s="33"/>
      <c r="O44" s="33"/>
      <c r="P44" s="33"/>
      <c r="Q44" s="33"/>
      <c r="R44" s="33"/>
      <c r="S44" s="34"/>
    </row>
    <row r="45" spans="3:19" ht="20.45" customHeight="1" x14ac:dyDescent="0.4">
      <c r="C45" s="291"/>
      <c r="D45" s="35"/>
      <c r="E45" s="263"/>
      <c r="F45" s="35"/>
      <c r="G45" s="35" t="s">
        <v>135</v>
      </c>
      <c r="H45" s="35"/>
      <c r="I45" s="261"/>
      <c r="J45" s="35"/>
      <c r="K45" s="263"/>
      <c r="L45" s="35"/>
      <c r="M45" s="264"/>
      <c r="N45" s="35"/>
      <c r="O45" s="35"/>
      <c r="P45" s="35"/>
      <c r="Q45" s="35"/>
      <c r="R45" s="35"/>
      <c r="S45" s="36"/>
    </row>
    <row r="46" spans="3:19" ht="20.45" customHeight="1" x14ac:dyDescent="0.4">
      <c r="C46" s="291"/>
      <c r="D46" s="37" t="s">
        <v>118</v>
      </c>
      <c r="E46" s="38" t="str">
        <f>IF(算出基礎表!D14=0,"",算出基礎表!M14)</f>
        <v/>
      </c>
      <c r="F46" s="82" t="str">
        <f>IF(F8="","",IF(計算シート!$J17="40歳から64歳まで",F8,""))</f>
        <v/>
      </c>
      <c r="G46" s="80" t="str">
        <f>IF(E46&lt;=0,"",IF(E46="","",IF(E46&lt;=430000,,430000)))</f>
        <v/>
      </c>
      <c r="H46" s="82" t="str">
        <f>IF(H8="","",IF(計算シート!$J17="40歳から64歳まで",H8,""))</f>
        <v/>
      </c>
      <c r="I46" s="47" t="str">
        <f>IF(I8="","",IF(計算シート!$J17="40歳から64歳まで",I8,""))</f>
        <v/>
      </c>
      <c r="J46" s="40"/>
      <c r="K46" s="40"/>
      <c r="L46" s="40"/>
      <c r="M46" s="271">
        <f>算出基礎表!J6</f>
        <v>2.53E-2</v>
      </c>
      <c r="N46" s="37"/>
      <c r="O46" s="35"/>
      <c r="P46" s="265">
        <f>IF(K48="",0,ROUNDDOWN(K48*M46,0))</f>
        <v>0</v>
      </c>
      <c r="Q46" s="268" t="s">
        <v>6</v>
      </c>
      <c r="R46" s="266" t="s">
        <v>119</v>
      </c>
      <c r="S46" s="267"/>
    </row>
    <row r="47" spans="3:19" ht="20.45" customHeight="1" x14ac:dyDescent="0.4">
      <c r="C47" s="291"/>
      <c r="D47" s="41" t="s">
        <v>120</v>
      </c>
      <c r="E47" s="79" t="str">
        <f>IF(算出基礎表!D15=0,"",算出基礎表!M15)</f>
        <v/>
      </c>
      <c r="F47" s="43" t="str">
        <f>IF(F9="","",IF(計算シート!$J19="40歳から64歳まで",F9,""))</f>
        <v/>
      </c>
      <c r="G47" s="81" t="str">
        <f t="shared" ref="G47:G50" si="8">IF(E47&lt;=0,"",IF(E47="","",IF(E47&lt;=430000,,430000)))</f>
        <v/>
      </c>
      <c r="H47" s="43" t="str">
        <f>IF(H9="","",IF(計算シート!$J19="40歳から64歳まで",H9,""))</f>
        <v/>
      </c>
      <c r="I47" s="87" t="str">
        <f>IF(I9="","",IF(計算シート!$J19="40歳から64歳まで",I9,""))</f>
        <v/>
      </c>
      <c r="J47" s="45"/>
      <c r="K47" s="46"/>
      <c r="L47" s="45"/>
      <c r="M47" s="272"/>
      <c r="N47" s="41"/>
      <c r="O47" s="35"/>
      <c r="P47" s="265"/>
      <c r="Q47" s="268"/>
      <c r="R47" s="266"/>
      <c r="S47" s="267"/>
    </row>
    <row r="48" spans="3:19" ht="20.45" customHeight="1" x14ac:dyDescent="0.4">
      <c r="C48" s="291"/>
      <c r="D48" s="37" t="s">
        <v>121</v>
      </c>
      <c r="E48" s="80" t="str">
        <f>IF(算出基礎表!D16=0,"",算出基礎表!M16)</f>
        <v/>
      </c>
      <c r="F48" s="39" t="str">
        <f>IF(F10="","",IF(計算シート!$J21="40歳から64歳まで",F10,""))</f>
        <v/>
      </c>
      <c r="G48" s="80" t="str">
        <f t="shared" si="8"/>
        <v/>
      </c>
      <c r="H48" s="39" t="str">
        <f>IF(H10="","",IF(計算シート!$J21="40歳から64歳まで",H10,""))</f>
        <v/>
      </c>
      <c r="I48" s="88" t="str">
        <f>IF(I10="","",IF(計算シート!$J21="40歳から64歳まで",I10,""))</f>
        <v/>
      </c>
      <c r="J48" s="40"/>
      <c r="K48" s="269" t="str">
        <f>IF(SUM(I46:I51)=0,"",SUM(I46:I51))</f>
        <v/>
      </c>
      <c r="L48" s="37"/>
      <c r="M48" s="272"/>
      <c r="N48" s="37"/>
      <c r="O48" s="35"/>
      <c r="P48" s="265"/>
      <c r="Q48" s="268"/>
      <c r="R48" s="266"/>
      <c r="S48" s="267"/>
    </row>
    <row r="49" spans="3:19" ht="20.45" customHeight="1" x14ac:dyDescent="0.4">
      <c r="C49" s="291"/>
      <c r="D49" s="41" t="s">
        <v>122</v>
      </c>
      <c r="E49" s="79" t="str">
        <f>IF(算出基礎表!D17=0,"",算出基礎表!M17)</f>
        <v/>
      </c>
      <c r="F49" s="43" t="str">
        <f>IF(F11="","",IF(計算シート!$J23="40歳から64歳まで",F11,""))</f>
        <v/>
      </c>
      <c r="G49" s="79" t="str">
        <f t="shared" si="8"/>
        <v/>
      </c>
      <c r="H49" s="43" t="str">
        <f>IF(H11="","",IF(計算シート!$J23="40歳から64歳まで",H11,""))</f>
        <v/>
      </c>
      <c r="I49" s="87" t="str">
        <f>IF(I11="","",IF(計算シート!$J23="40歳から64歳まで",I11,""))</f>
        <v/>
      </c>
      <c r="J49" s="45"/>
      <c r="K49" s="270"/>
      <c r="L49" s="41"/>
      <c r="M49" s="272"/>
      <c r="N49" s="41"/>
      <c r="O49" s="35"/>
      <c r="P49" s="265"/>
      <c r="Q49" s="268"/>
      <c r="R49" s="266"/>
      <c r="S49" s="267"/>
    </row>
    <row r="50" spans="3:19" ht="20.45" customHeight="1" x14ac:dyDescent="0.4">
      <c r="C50" s="291"/>
      <c r="D50" s="37" t="s">
        <v>123</v>
      </c>
      <c r="E50" s="80" t="str">
        <f>IF(算出基礎表!D18=0,"",算出基礎表!M18)</f>
        <v/>
      </c>
      <c r="F50" s="39" t="str">
        <f>IF(F12="","",IF(計算シート!$J25="40歳から64歳まで",F12,""))</f>
        <v/>
      </c>
      <c r="G50" s="80" t="str">
        <f t="shared" si="8"/>
        <v/>
      </c>
      <c r="H50" s="39" t="str">
        <f>IF(H12="","",IF(計算シート!$J25="40歳から64歳まで",H12,""))</f>
        <v/>
      </c>
      <c r="I50" s="88" t="str">
        <f>IF(I12="","",IF(計算シート!$J25="40歳から64歳まで",I12,""))</f>
        <v/>
      </c>
      <c r="J50" s="40"/>
      <c r="K50" s="40"/>
      <c r="L50" s="40"/>
      <c r="M50" s="272"/>
      <c r="N50" s="37"/>
      <c r="O50" s="35"/>
      <c r="P50" s="265"/>
      <c r="Q50" s="268"/>
      <c r="R50" s="266"/>
      <c r="S50" s="267"/>
    </row>
    <row r="51" spans="3:19" ht="20.45" customHeight="1" x14ac:dyDescent="0.4">
      <c r="C51" s="291"/>
      <c r="D51" s="48" t="s">
        <v>124</v>
      </c>
      <c r="E51" s="81" t="str">
        <f>IF(算出基礎表!D19=0,"",算出基礎表!M19)</f>
        <v/>
      </c>
      <c r="F51" s="50" t="str">
        <f>IF(F13="","",IF(計算シート!$J27="40歳から64歳まで",F13,""))</f>
        <v/>
      </c>
      <c r="G51" s="81" t="str">
        <f>IF(E51&lt;=0,"",IF(E51="","",IF(E51&lt;=430000,,430000)))</f>
        <v/>
      </c>
      <c r="H51" s="50" t="str">
        <f>IF(H13="","",IF(計算シート!$J27="40歳から64歳まで",H13,""))</f>
        <v/>
      </c>
      <c r="I51" s="89" t="str">
        <f>IF(I13="","",IF(計算シート!$J27="40歳から64歳まで",I13,""))</f>
        <v/>
      </c>
      <c r="J51" s="51"/>
      <c r="K51" s="51"/>
      <c r="L51" s="51"/>
      <c r="M51" s="273"/>
      <c r="N51" s="48"/>
      <c r="O51" s="35"/>
      <c r="P51" s="265"/>
      <c r="Q51" s="268"/>
      <c r="R51" s="266"/>
      <c r="S51" s="267"/>
    </row>
    <row r="52" spans="3:19" ht="10.15" customHeight="1" x14ac:dyDescent="0.4">
      <c r="C52" s="29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3"/>
      <c r="Q52" s="54"/>
      <c r="R52" s="55"/>
      <c r="S52" s="56"/>
    </row>
    <row r="53" spans="3:19" ht="20.45" customHeight="1" x14ac:dyDescent="0.4">
      <c r="C53" s="290" t="s">
        <v>125</v>
      </c>
      <c r="D53" s="57"/>
      <c r="E53" s="58"/>
      <c r="F53" s="58"/>
      <c r="G53" s="58" t="s">
        <v>126</v>
      </c>
      <c r="H53" s="58"/>
      <c r="I53" s="59">
        <f>算出基礎表!K6</f>
        <v>19000</v>
      </c>
      <c r="J53" s="61" t="s">
        <v>127</v>
      </c>
      <c r="K53" s="60">
        <f>算出基礎表!D20</f>
        <v>0</v>
      </c>
      <c r="L53" s="61" t="s">
        <v>128</v>
      </c>
      <c r="M53" s="62">
        <f>I53*K53</f>
        <v>0</v>
      </c>
      <c r="N53" s="58"/>
      <c r="O53" s="33"/>
      <c r="P53" s="248">
        <f>SUM(M53:M55)</f>
        <v>0</v>
      </c>
      <c r="Q53" s="258" t="s">
        <v>6</v>
      </c>
      <c r="R53" s="250" t="s">
        <v>129</v>
      </c>
      <c r="S53" s="251"/>
    </row>
    <row r="54" spans="3:19" ht="20.45" customHeight="1" x14ac:dyDescent="0.4">
      <c r="C54" s="291"/>
      <c r="D54" s="63"/>
      <c r="E54" s="243" t="str">
        <f>IF(G54="","","減額：")</f>
        <v>減額：</v>
      </c>
      <c r="F54" s="243"/>
      <c r="G54" s="64" t="str">
        <f>G16</f>
        <v>７割</v>
      </c>
      <c r="H54" s="64"/>
      <c r="I54" s="65">
        <f>IF(G54="","",IF(G54="２割",I53*-0.2,IF(G54="５割",I53*-0.5,IF(G54="７割",I53*-0.7))))</f>
        <v>-13300</v>
      </c>
      <c r="J54" s="67" t="str">
        <f>IF(I54="","","×")</f>
        <v>×</v>
      </c>
      <c r="K54" s="66">
        <f>IF(G54="","",K53)</f>
        <v>0</v>
      </c>
      <c r="L54" s="67" t="str">
        <f>IF(G54="","","=")</f>
        <v>=</v>
      </c>
      <c r="M54" s="68">
        <f>IF(G54="","",I54*K54)</f>
        <v>0</v>
      </c>
      <c r="N54" s="64"/>
      <c r="O54" s="35"/>
      <c r="P54" s="265"/>
      <c r="Q54" s="268"/>
      <c r="R54" s="266"/>
      <c r="S54" s="267"/>
    </row>
    <row r="55" spans="3:19" ht="20.45" customHeight="1" x14ac:dyDescent="0.4">
      <c r="C55" s="292"/>
      <c r="D55" s="69"/>
      <c r="E55" s="70"/>
      <c r="F55" s="70"/>
      <c r="G55" s="70"/>
      <c r="H55" s="70"/>
      <c r="I55" s="71"/>
      <c r="J55" s="73"/>
      <c r="K55" s="70"/>
      <c r="L55" s="70"/>
      <c r="M55" s="70"/>
      <c r="N55" s="70"/>
      <c r="O55" s="52"/>
      <c r="P55" s="249"/>
      <c r="Q55" s="259"/>
      <c r="R55" s="252"/>
      <c r="S55" s="253"/>
    </row>
    <row r="56" spans="3:19" ht="20.45" hidden="1" customHeight="1" x14ac:dyDescent="0.4">
      <c r="C56" s="279" t="s">
        <v>130</v>
      </c>
      <c r="D56" s="57"/>
      <c r="E56" s="58"/>
      <c r="F56" s="58"/>
      <c r="G56" s="58"/>
      <c r="H56" s="58"/>
      <c r="I56" s="59"/>
      <c r="J56" s="58"/>
      <c r="K56" s="58"/>
      <c r="L56" s="58"/>
      <c r="M56" s="58"/>
      <c r="N56" s="58"/>
      <c r="O56" s="33"/>
      <c r="P56" s="248">
        <f>IF(K53=0,0,I56+I57)</f>
        <v>0</v>
      </c>
      <c r="Q56" s="258" t="s">
        <v>6</v>
      </c>
      <c r="R56" s="250" t="s">
        <v>132</v>
      </c>
      <c r="S56" s="251"/>
    </row>
    <row r="57" spans="3:19" ht="20.45" hidden="1" customHeight="1" x14ac:dyDescent="0.4">
      <c r="C57" s="281"/>
      <c r="D57" s="75"/>
      <c r="E57" s="76"/>
      <c r="F57" s="76"/>
      <c r="G57" s="76"/>
      <c r="H57" s="76"/>
      <c r="I57" s="77"/>
      <c r="J57" s="76"/>
      <c r="K57" s="76"/>
      <c r="L57" s="76"/>
      <c r="M57" s="76"/>
      <c r="N57" s="76"/>
      <c r="O57" s="52"/>
      <c r="P57" s="249"/>
      <c r="Q57" s="259"/>
      <c r="R57" s="252"/>
      <c r="S57" s="253"/>
    </row>
    <row r="58" spans="3:19" ht="36.950000000000003" customHeight="1" x14ac:dyDescent="0.4">
      <c r="C58" s="276" t="s">
        <v>139</v>
      </c>
      <c r="D58" s="277"/>
      <c r="E58" s="278"/>
      <c r="F58" s="246" t="str">
        <f>"賦課限度額（"&amp;算出基礎表!M6/10000&amp;"万円）"</f>
        <v>賦課限度額（17万円）</v>
      </c>
      <c r="G58" s="247"/>
      <c r="H58" s="247"/>
      <c r="I58" s="78"/>
      <c r="J58" s="78"/>
      <c r="K58" s="254">
        <f>IF(SUM(P46:P57)&lt;=算出基礎表!M6,ROUNDDOWN(P46+P53+P56,-2),算出基礎表!M6)</f>
        <v>0</v>
      </c>
      <c r="L58" s="254"/>
      <c r="M58" s="255" t="s">
        <v>133</v>
      </c>
      <c r="N58" s="255"/>
      <c r="O58" s="255"/>
      <c r="P58" s="255"/>
      <c r="Q58" s="78"/>
      <c r="R58" s="256" t="s">
        <v>138</v>
      </c>
      <c r="S58" s="257"/>
    </row>
    <row r="59" spans="3:19" ht="15.4" customHeight="1" x14ac:dyDescent="0.4"/>
    <row r="60" spans="3:19" ht="35.450000000000003" customHeight="1" x14ac:dyDescent="0.4">
      <c r="I60" s="234" t="s">
        <v>43</v>
      </c>
      <c r="J60" s="235"/>
      <c r="K60" s="235"/>
      <c r="L60" s="235"/>
      <c r="M60" s="235"/>
      <c r="N60" s="235"/>
      <c r="O60" s="235"/>
      <c r="P60" s="238">
        <f>K20+K39+K58</f>
        <v>23400</v>
      </c>
      <c r="Q60" s="239"/>
      <c r="R60" s="239"/>
      <c r="S60" s="240"/>
    </row>
    <row r="61" spans="3:19" ht="9.4" customHeight="1" x14ac:dyDescent="0.4"/>
    <row r="62" spans="3:19" ht="35.450000000000003" customHeight="1" x14ac:dyDescent="0.4">
      <c r="I62" s="236" t="s">
        <v>42</v>
      </c>
      <c r="J62" s="237"/>
      <c r="K62" s="237"/>
      <c r="L62" s="237"/>
      <c r="M62" s="237"/>
      <c r="N62" s="237"/>
      <c r="O62" s="237"/>
      <c r="P62" s="241">
        <f>ROUNDDOWN(P60/12,0)</f>
        <v>1950</v>
      </c>
      <c r="Q62" s="241"/>
      <c r="R62" s="241"/>
      <c r="S62" s="242"/>
    </row>
    <row r="63" spans="3:19" ht="9.4" customHeight="1" x14ac:dyDescent="0.4"/>
    <row r="64" spans="3:19" ht="9.4" customHeight="1" x14ac:dyDescent="0.4"/>
  </sheetData>
  <sheetProtection selectLockedCells="1"/>
  <mergeCells count="83">
    <mergeCell ref="C58:E58"/>
    <mergeCell ref="C42:C43"/>
    <mergeCell ref="E44:E45"/>
    <mergeCell ref="C6:C14"/>
    <mergeCell ref="C15:C17"/>
    <mergeCell ref="C18:C19"/>
    <mergeCell ref="C20:E20"/>
    <mergeCell ref="C37:C38"/>
    <mergeCell ref="C39:E39"/>
    <mergeCell ref="C44:C52"/>
    <mergeCell ref="C53:C55"/>
    <mergeCell ref="C56:C57"/>
    <mergeCell ref="C23:C24"/>
    <mergeCell ref="C25:C33"/>
    <mergeCell ref="E25:E26"/>
    <mergeCell ref="C34:C36"/>
    <mergeCell ref="C4:C5"/>
    <mergeCell ref="M8:M13"/>
    <mergeCell ref="K10:K11"/>
    <mergeCell ref="P8:P13"/>
    <mergeCell ref="R8:S13"/>
    <mergeCell ref="E6:E7"/>
    <mergeCell ref="I6:I7"/>
    <mergeCell ref="K6:K7"/>
    <mergeCell ref="M6:M7"/>
    <mergeCell ref="Q8:Q13"/>
    <mergeCell ref="P15:P17"/>
    <mergeCell ref="R15:S17"/>
    <mergeCell ref="P18:P19"/>
    <mergeCell ref="R18:S19"/>
    <mergeCell ref="F20:H20"/>
    <mergeCell ref="K20:L20"/>
    <mergeCell ref="M20:P20"/>
    <mergeCell ref="R20:S20"/>
    <mergeCell ref="Q15:Q17"/>
    <mergeCell ref="Q18:Q19"/>
    <mergeCell ref="E16:F16"/>
    <mergeCell ref="E17:F17"/>
    <mergeCell ref="E19:F19"/>
    <mergeCell ref="I25:I26"/>
    <mergeCell ref="K25:K26"/>
    <mergeCell ref="P27:P32"/>
    <mergeCell ref="R27:S32"/>
    <mergeCell ref="K29:K30"/>
    <mergeCell ref="M25:M26"/>
    <mergeCell ref="M27:M32"/>
    <mergeCell ref="Q27:Q32"/>
    <mergeCell ref="P34:P36"/>
    <mergeCell ref="R34:S36"/>
    <mergeCell ref="R46:S51"/>
    <mergeCell ref="K48:K49"/>
    <mergeCell ref="P37:P38"/>
    <mergeCell ref="R37:S38"/>
    <mergeCell ref="M46:M51"/>
    <mergeCell ref="P46:P51"/>
    <mergeCell ref="Q34:Q36"/>
    <mergeCell ref="Q37:Q38"/>
    <mergeCell ref="Q46:Q51"/>
    <mergeCell ref="K39:L39"/>
    <mergeCell ref="M39:P39"/>
    <mergeCell ref="R39:S39"/>
    <mergeCell ref="I44:I45"/>
    <mergeCell ref="K44:K45"/>
    <mergeCell ref="M44:M45"/>
    <mergeCell ref="P53:P55"/>
    <mergeCell ref="R53:S55"/>
    <mergeCell ref="Q53:Q55"/>
    <mergeCell ref="I60:O60"/>
    <mergeCell ref="I62:O62"/>
    <mergeCell ref="P60:S60"/>
    <mergeCell ref="P62:S62"/>
    <mergeCell ref="E35:F35"/>
    <mergeCell ref="E36:F36"/>
    <mergeCell ref="E54:F54"/>
    <mergeCell ref="E38:F38"/>
    <mergeCell ref="F39:H39"/>
    <mergeCell ref="P56:P57"/>
    <mergeCell ref="R56:S57"/>
    <mergeCell ref="F58:H58"/>
    <mergeCell ref="K58:L58"/>
    <mergeCell ref="M58:P58"/>
    <mergeCell ref="R58:S58"/>
    <mergeCell ref="Q56:Q57"/>
  </mergeCells>
  <phoneticPr fontId="3"/>
  <pageMargins left="0.51181102362204722" right="0.31496062992125984" top="0.55118110236220474" bottom="0.35433070866141736" header="0.31496062992125984" footer="0.31496062992125984"/>
  <pageSetup paperSize="9" scale="60" orientation="portrait" r:id="rId1"/>
  <ignoredErrors>
    <ignoredError sqref="G46:G51 K3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7"/>
  <sheetViews>
    <sheetView topLeftCell="A28" zoomScale="85" zoomScaleNormal="85" workbookViewId="0">
      <selection activeCell="H43" sqref="H43"/>
    </sheetView>
  </sheetViews>
  <sheetFormatPr defaultColWidth="10.5" defaultRowHeight="16.5" x14ac:dyDescent="0.4"/>
  <cols>
    <col min="1" max="16384" width="10.5" style="91"/>
  </cols>
  <sheetData>
    <row r="1" spans="1:19" ht="25.5" x14ac:dyDescent="0.4">
      <c r="A1" s="112" t="s">
        <v>183</v>
      </c>
    </row>
    <row r="2" spans="1:19" ht="25.5" customHeight="1" x14ac:dyDescent="0.4">
      <c r="A2" s="111" t="s">
        <v>179</v>
      </c>
      <c r="I2" s="111" t="s">
        <v>180</v>
      </c>
      <c r="O2" s="111" t="s">
        <v>193</v>
      </c>
    </row>
    <row r="3" spans="1:19" ht="56.25" customHeight="1" x14ac:dyDescent="0.4">
      <c r="A3" s="107"/>
      <c r="B3" s="108" t="s">
        <v>148</v>
      </c>
      <c r="C3" s="108" t="s">
        <v>107</v>
      </c>
      <c r="D3" s="108" t="s">
        <v>8</v>
      </c>
      <c r="E3" s="108" t="s">
        <v>104</v>
      </c>
      <c r="F3" s="108" t="s">
        <v>10</v>
      </c>
      <c r="G3" s="108" t="s">
        <v>186</v>
      </c>
      <c r="I3" s="113"/>
      <c r="J3" s="178" t="s">
        <v>15</v>
      </c>
      <c r="K3" s="178" t="s">
        <v>171</v>
      </c>
      <c r="L3" s="178" t="s">
        <v>17</v>
      </c>
      <c r="M3" s="178" t="s">
        <v>172</v>
      </c>
      <c r="O3" s="113"/>
      <c r="P3" s="176" t="s">
        <v>190</v>
      </c>
      <c r="Q3" s="177" t="s">
        <v>191</v>
      </c>
      <c r="R3" s="178" t="s">
        <v>192</v>
      </c>
    </row>
    <row r="4" spans="1:19" ht="18.75" x14ac:dyDescent="0.4">
      <c r="A4" s="98" t="s">
        <v>0</v>
      </c>
      <c r="B4" s="98" t="str">
        <f>計算シート!E17</f>
        <v>加入する</v>
      </c>
      <c r="C4" s="104" t="str">
        <f>計算シート!J17</f>
        <v>加入しない</v>
      </c>
      <c r="D4" s="100">
        <f>計算シート!R17</f>
        <v>0</v>
      </c>
      <c r="E4" s="100">
        <f>計算シート!Y17</f>
        <v>0</v>
      </c>
      <c r="F4" s="100">
        <f>計算シート!AF17</f>
        <v>0</v>
      </c>
      <c r="G4" s="98" t="str">
        <f>IF(計算シート!AM17="","",計算シート!AM17)</f>
        <v/>
      </c>
      <c r="I4" s="115" t="s">
        <v>168</v>
      </c>
      <c r="J4" s="116">
        <v>7.5399999999999995E-2</v>
      </c>
      <c r="K4" s="117">
        <v>28000</v>
      </c>
      <c r="L4" s="117">
        <v>28000</v>
      </c>
      <c r="M4" s="118">
        <v>660000</v>
      </c>
      <c r="O4" s="115" t="s">
        <v>78</v>
      </c>
      <c r="P4" s="172">
        <v>430000</v>
      </c>
      <c r="Q4" s="174">
        <v>0</v>
      </c>
      <c r="R4" s="117">
        <v>100000</v>
      </c>
    </row>
    <row r="5" spans="1:19" ht="18.75" x14ac:dyDescent="0.4">
      <c r="A5" s="136" t="s">
        <v>143</v>
      </c>
      <c r="B5" s="136"/>
      <c r="C5" s="137" t="str">
        <f>計算シート!J19</f>
        <v>加入しない</v>
      </c>
      <c r="D5" s="138">
        <f>計算シート!R19</f>
        <v>0</v>
      </c>
      <c r="E5" s="138">
        <f>計算シート!Y19</f>
        <v>0</v>
      </c>
      <c r="F5" s="138">
        <f>計算シート!AF19</f>
        <v>0</v>
      </c>
      <c r="G5" s="136" t="str">
        <f>IF(計算シート!AM19="","",計算シート!AM19)</f>
        <v/>
      </c>
      <c r="I5" s="151" t="s">
        <v>169</v>
      </c>
      <c r="J5" s="152">
        <v>3.09E-2</v>
      </c>
      <c r="K5" s="153">
        <v>11000</v>
      </c>
      <c r="L5" s="153">
        <v>11000</v>
      </c>
      <c r="M5" s="154">
        <v>260000</v>
      </c>
      <c r="O5" s="151" t="s">
        <v>79</v>
      </c>
      <c r="P5" s="173">
        <v>430000</v>
      </c>
      <c r="Q5" s="175">
        <v>305000</v>
      </c>
      <c r="R5" s="153">
        <v>100000</v>
      </c>
    </row>
    <row r="6" spans="1:19" ht="18.75" x14ac:dyDescent="0.4">
      <c r="A6" s="98" t="s">
        <v>144</v>
      </c>
      <c r="B6" s="98"/>
      <c r="C6" s="104" t="str">
        <f>計算シート!J21</f>
        <v>加入しない</v>
      </c>
      <c r="D6" s="100">
        <f>計算シート!R21</f>
        <v>0</v>
      </c>
      <c r="E6" s="100">
        <f>計算シート!Y21</f>
        <v>0</v>
      </c>
      <c r="F6" s="100">
        <f>計算シート!AF21</f>
        <v>0</v>
      </c>
      <c r="G6" s="98" t="str">
        <f>IF(計算シート!AM21="","",計算シート!AM21)</f>
        <v/>
      </c>
      <c r="I6" s="115" t="s">
        <v>170</v>
      </c>
      <c r="J6" s="116">
        <v>2.53E-2</v>
      </c>
      <c r="K6" s="117">
        <v>19000</v>
      </c>
      <c r="L6" s="119">
        <v>0</v>
      </c>
      <c r="M6" s="118">
        <v>170000</v>
      </c>
      <c r="O6" s="115" t="s">
        <v>80</v>
      </c>
      <c r="P6" s="172">
        <v>430000</v>
      </c>
      <c r="Q6" s="174">
        <v>560000</v>
      </c>
      <c r="R6" s="117">
        <v>100000</v>
      </c>
    </row>
    <row r="7" spans="1:19" x14ac:dyDescent="0.4">
      <c r="A7" s="136" t="s">
        <v>145</v>
      </c>
      <c r="B7" s="136"/>
      <c r="C7" s="137" t="str">
        <f>計算シート!J23</f>
        <v>加入しない</v>
      </c>
      <c r="D7" s="138">
        <f>計算シート!R23</f>
        <v>0</v>
      </c>
      <c r="E7" s="138">
        <f>計算シート!Y23</f>
        <v>0</v>
      </c>
      <c r="F7" s="138">
        <f>計算シート!AF23</f>
        <v>0</v>
      </c>
      <c r="G7" s="136" t="str">
        <f>IF(計算シート!AM23="","",計算シート!AM23)</f>
        <v/>
      </c>
    </row>
    <row r="8" spans="1:19" x14ac:dyDescent="0.4">
      <c r="A8" s="98" t="s">
        <v>146</v>
      </c>
      <c r="B8" s="98"/>
      <c r="C8" s="104" t="str">
        <f>計算シート!J25</f>
        <v>加入しない</v>
      </c>
      <c r="D8" s="100">
        <f>計算シート!R25</f>
        <v>0</v>
      </c>
      <c r="E8" s="100">
        <f>計算シート!Y25</f>
        <v>0</v>
      </c>
      <c r="F8" s="100">
        <f>計算シート!AF25</f>
        <v>0</v>
      </c>
      <c r="G8" s="98" t="str">
        <f>IF(計算シート!AM25="","",計算シート!AM25)</f>
        <v/>
      </c>
    </row>
    <row r="9" spans="1:19" x14ac:dyDescent="0.4">
      <c r="A9" s="136" t="s">
        <v>147</v>
      </c>
      <c r="B9" s="136"/>
      <c r="C9" s="137" t="str">
        <f>計算シート!J27</f>
        <v>加入しない</v>
      </c>
      <c r="D9" s="138">
        <f>計算シート!R27</f>
        <v>0</v>
      </c>
      <c r="E9" s="138">
        <f>計算シート!Y27</f>
        <v>0</v>
      </c>
      <c r="F9" s="138">
        <f>計算シート!AF27</f>
        <v>0</v>
      </c>
      <c r="G9" s="136" t="str">
        <f>IF(計算シート!AM27="","",計算シート!AM27)</f>
        <v/>
      </c>
    </row>
    <row r="11" spans="1:19" ht="27" customHeight="1" x14ac:dyDescent="0.4">
      <c r="A11" s="111" t="s">
        <v>142</v>
      </c>
      <c r="P11" s="150" t="s">
        <v>174</v>
      </c>
    </row>
    <row r="12" spans="1:19" ht="25.5" customHeight="1" x14ac:dyDescent="0.4">
      <c r="A12" s="298"/>
      <c r="B12" s="305" t="s">
        <v>163</v>
      </c>
      <c r="C12" s="301" t="s">
        <v>149</v>
      </c>
      <c r="D12" s="311" t="s">
        <v>178</v>
      </c>
      <c r="E12" s="301" t="s">
        <v>162</v>
      </c>
      <c r="F12" s="301" t="s">
        <v>151</v>
      </c>
      <c r="G12" s="301" t="s">
        <v>153</v>
      </c>
      <c r="H12" s="301" t="s">
        <v>152</v>
      </c>
      <c r="I12" s="301" t="s">
        <v>44</v>
      </c>
      <c r="J12" s="301" t="s">
        <v>111</v>
      </c>
      <c r="K12" s="299" t="s">
        <v>45</v>
      </c>
      <c r="L12" s="299" t="s">
        <v>10</v>
      </c>
      <c r="M12" s="299" t="s">
        <v>46</v>
      </c>
      <c r="N12" s="299" t="s">
        <v>140</v>
      </c>
      <c r="P12" s="320"/>
      <c r="Q12" s="299" t="s">
        <v>164</v>
      </c>
      <c r="R12" s="299"/>
      <c r="S12" s="315" t="s">
        <v>76</v>
      </c>
    </row>
    <row r="13" spans="1:19" ht="25.5" customHeight="1" x14ac:dyDescent="0.4">
      <c r="A13" s="298"/>
      <c r="B13" s="305"/>
      <c r="C13" s="301"/>
      <c r="D13" s="312"/>
      <c r="E13" s="301"/>
      <c r="F13" s="301"/>
      <c r="G13" s="301"/>
      <c r="H13" s="301"/>
      <c r="I13" s="301"/>
      <c r="J13" s="301"/>
      <c r="K13" s="299"/>
      <c r="L13" s="299"/>
      <c r="M13" s="299"/>
      <c r="N13" s="299"/>
      <c r="P13" s="321"/>
      <c r="Q13" s="114" t="s">
        <v>44</v>
      </c>
      <c r="R13" s="114" t="s">
        <v>45</v>
      </c>
      <c r="S13" s="316"/>
    </row>
    <row r="14" spans="1:19" x14ac:dyDescent="0.4">
      <c r="A14" s="98" t="s">
        <v>0</v>
      </c>
      <c r="B14" s="102">
        <f>IF(B4="加入しない",0,1)</f>
        <v>1</v>
      </c>
      <c r="C14" s="102">
        <f>IF(C4="加入しない",0,IF(C4="65歳から74歳まで",1,IF(C4="75歳以上","65歳以上",2)))</f>
        <v>0</v>
      </c>
      <c r="D14" s="102">
        <f>IF(B14=0,0,IF(C4="40歳から64歳まで",1,0))</f>
        <v>0</v>
      </c>
      <c r="E14" s="102">
        <f t="shared" ref="E14:E19" si="0">IF(C4="未就学児",1,0)</f>
        <v>0</v>
      </c>
      <c r="F14" s="102">
        <f t="shared" ref="F14:F19" si="1">IF(G4="○",1,0)</f>
        <v>0</v>
      </c>
      <c r="G14" s="102">
        <f>給与所得!D20</f>
        <v>0</v>
      </c>
      <c r="H14" s="102">
        <f>S14</f>
        <v>0</v>
      </c>
      <c r="I14" s="102">
        <f>G14-H14</f>
        <v>0</v>
      </c>
      <c r="J14" s="102">
        <f>IF(F14=1,I14/100*30,0)</f>
        <v>0</v>
      </c>
      <c r="K14" s="102">
        <f>年金所得!E22</f>
        <v>0</v>
      </c>
      <c r="L14" s="102">
        <f>F4</f>
        <v>0</v>
      </c>
      <c r="M14" s="102">
        <f>IF(F14=1,J14+K14+L14,I14+K14+L14)</f>
        <v>0</v>
      </c>
      <c r="N14" s="102">
        <f>IF(M14&lt;=430000,0,M14-430000)</f>
        <v>0</v>
      </c>
      <c r="P14" s="98" t="s">
        <v>0</v>
      </c>
      <c r="Q14" s="148">
        <f>IF(G14&gt;100000,100000,G14)</f>
        <v>0</v>
      </c>
      <c r="R14" s="148">
        <f>IF(K14&gt;100000,100000,K14)</f>
        <v>0</v>
      </c>
      <c r="S14" s="148">
        <f>IF((Q14+R14)&gt;=100000,Q14+R14-100000,0)</f>
        <v>0</v>
      </c>
    </row>
    <row r="15" spans="1:19" x14ac:dyDescent="0.4">
      <c r="A15" s="136" t="s">
        <v>1</v>
      </c>
      <c r="B15" s="139">
        <f>IF(C5="加入しない",0,1)</f>
        <v>0</v>
      </c>
      <c r="C15" s="139">
        <f t="shared" ref="C15:C19" si="2">IF(C5="加入しない",0,IF(C5="65歳から74歳まで",1,IF(C5="75歳以上","65歳以上",2)))</f>
        <v>0</v>
      </c>
      <c r="D15" s="139">
        <f t="shared" ref="D15:D19" si="3">IF(B15=0,0,IF(C5="40歳から64歳まで",1,0))</f>
        <v>0</v>
      </c>
      <c r="E15" s="139">
        <f t="shared" si="0"/>
        <v>0</v>
      </c>
      <c r="F15" s="139">
        <f t="shared" si="1"/>
        <v>0</v>
      </c>
      <c r="G15" s="139">
        <f>給与所得!D21</f>
        <v>0</v>
      </c>
      <c r="H15" s="139">
        <f t="shared" ref="H15:H19" si="4">S15</f>
        <v>0</v>
      </c>
      <c r="I15" s="139">
        <f t="shared" ref="I15:I19" si="5">G15-H15</f>
        <v>0</v>
      </c>
      <c r="J15" s="139">
        <f t="shared" ref="J15:J19" si="6">IF(F15=1,I15/100*30,0)</f>
        <v>0</v>
      </c>
      <c r="K15" s="139">
        <f>年金所得!E23</f>
        <v>0</v>
      </c>
      <c r="L15" s="139">
        <f t="shared" ref="L15:L19" si="7">F5</f>
        <v>0</v>
      </c>
      <c r="M15" s="139">
        <f t="shared" ref="M15:M19" si="8">IF(F15=1,J15+K15+L15,I15+K15+L15)</f>
        <v>0</v>
      </c>
      <c r="N15" s="139">
        <f t="shared" ref="N15:N19" si="9">IF(M15&lt;=430000,0,M15-430000)</f>
        <v>0</v>
      </c>
      <c r="P15" s="136" t="s">
        <v>1</v>
      </c>
      <c r="Q15" s="149">
        <f t="shared" ref="Q15:Q19" si="10">IF(G15&gt;100000,100000,G15)</f>
        <v>0</v>
      </c>
      <c r="R15" s="149">
        <f t="shared" ref="R15:R19" si="11">IF(K15&gt;100000,100000,K15)</f>
        <v>0</v>
      </c>
      <c r="S15" s="149">
        <f t="shared" ref="S15:S19" si="12">IF((Q15+R15)&gt;=100000,Q15+R15-100000,0)</f>
        <v>0</v>
      </c>
    </row>
    <row r="16" spans="1:19" x14ac:dyDescent="0.4">
      <c r="A16" s="98" t="s">
        <v>2</v>
      </c>
      <c r="B16" s="102">
        <f>IF(C6="加入しない",0,1)</f>
        <v>0</v>
      </c>
      <c r="C16" s="102">
        <f t="shared" si="2"/>
        <v>0</v>
      </c>
      <c r="D16" s="102">
        <f t="shared" si="3"/>
        <v>0</v>
      </c>
      <c r="E16" s="102">
        <f t="shared" si="0"/>
        <v>0</v>
      </c>
      <c r="F16" s="102">
        <f t="shared" si="1"/>
        <v>0</v>
      </c>
      <c r="G16" s="102">
        <f>給与所得!D22</f>
        <v>0</v>
      </c>
      <c r="H16" s="102">
        <f t="shared" si="4"/>
        <v>0</v>
      </c>
      <c r="I16" s="102">
        <f t="shared" si="5"/>
        <v>0</v>
      </c>
      <c r="J16" s="102">
        <f t="shared" si="6"/>
        <v>0</v>
      </c>
      <c r="K16" s="102">
        <f>年金所得!E24</f>
        <v>0</v>
      </c>
      <c r="L16" s="102">
        <f t="shared" si="7"/>
        <v>0</v>
      </c>
      <c r="M16" s="102">
        <f t="shared" si="8"/>
        <v>0</v>
      </c>
      <c r="N16" s="102">
        <f>IF(M16&lt;=430000,0,M16-430000)</f>
        <v>0</v>
      </c>
      <c r="P16" s="98" t="s">
        <v>2</v>
      </c>
      <c r="Q16" s="148">
        <f t="shared" si="10"/>
        <v>0</v>
      </c>
      <c r="R16" s="148">
        <f t="shared" si="11"/>
        <v>0</v>
      </c>
      <c r="S16" s="148">
        <f t="shared" si="12"/>
        <v>0</v>
      </c>
    </row>
    <row r="17" spans="1:19" x14ac:dyDescent="0.4">
      <c r="A17" s="136" t="s">
        <v>3</v>
      </c>
      <c r="B17" s="139">
        <f>IF(C7="加入しない",0,1)</f>
        <v>0</v>
      </c>
      <c r="C17" s="139">
        <f t="shared" si="2"/>
        <v>0</v>
      </c>
      <c r="D17" s="139">
        <f t="shared" si="3"/>
        <v>0</v>
      </c>
      <c r="E17" s="139">
        <f t="shared" si="0"/>
        <v>0</v>
      </c>
      <c r="F17" s="139">
        <f t="shared" si="1"/>
        <v>0</v>
      </c>
      <c r="G17" s="139">
        <f>給与所得!D23</f>
        <v>0</v>
      </c>
      <c r="H17" s="139">
        <f t="shared" si="4"/>
        <v>0</v>
      </c>
      <c r="I17" s="139">
        <f t="shared" si="5"/>
        <v>0</v>
      </c>
      <c r="J17" s="139">
        <f t="shared" si="6"/>
        <v>0</v>
      </c>
      <c r="K17" s="139">
        <f>年金所得!E25</f>
        <v>0</v>
      </c>
      <c r="L17" s="139">
        <f t="shared" si="7"/>
        <v>0</v>
      </c>
      <c r="M17" s="139">
        <f t="shared" si="8"/>
        <v>0</v>
      </c>
      <c r="N17" s="139">
        <f t="shared" si="9"/>
        <v>0</v>
      </c>
      <c r="P17" s="136" t="s">
        <v>3</v>
      </c>
      <c r="Q17" s="149">
        <f t="shared" si="10"/>
        <v>0</v>
      </c>
      <c r="R17" s="149">
        <f t="shared" si="11"/>
        <v>0</v>
      </c>
      <c r="S17" s="149">
        <f t="shared" si="12"/>
        <v>0</v>
      </c>
    </row>
    <row r="18" spans="1:19" x14ac:dyDescent="0.4">
      <c r="A18" s="98" t="s">
        <v>4</v>
      </c>
      <c r="B18" s="102">
        <f>IF(C8="加入しない",0,1)</f>
        <v>0</v>
      </c>
      <c r="C18" s="102">
        <f t="shared" si="2"/>
        <v>0</v>
      </c>
      <c r="D18" s="102">
        <f t="shared" si="3"/>
        <v>0</v>
      </c>
      <c r="E18" s="102">
        <f t="shared" si="0"/>
        <v>0</v>
      </c>
      <c r="F18" s="102">
        <f t="shared" si="1"/>
        <v>0</v>
      </c>
      <c r="G18" s="102">
        <f>給与所得!D24</f>
        <v>0</v>
      </c>
      <c r="H18" s="102">
        <f t="shared" si="4"/>
        <v>0</v>
      </c>
      <c r="I18" s="102">
        <f t="shared" si="5"/>
        <v>0</v>
      </c>
      <c r="J18" s="102">
        <f t="shared" si="6"/>
        <v>0</v>
      </c>
      <c r="K18" s="102">
        <f>年金所得!E26</f>
        <v>0</v>
      </c>
      <c r="L18" s="102">
        <f t="shared" si="7"/>
        <v>0</v>
      </c>
      <c r="M18" s="102">
        <f t="shared" si="8"/>
        <v>0</v>
      </c>
      <c r="N18" s="102">
        <f t="shared" si="9"/>
        <v>0</v>
      </c>
      <c r="P18" s="98" t="s">
        <v>4</v>
      </c>
      <c r="Q18" s="148">
        <f t="shared" si="10"/>
        <v>0</v>
      </c>
      <c r="R18" s="148">
        <f t="shared" si="11"/>
        <v>0</v>
      </c>
      <c r="S18" s="148">
        <f t="shared" si="12"/>
        <v>0</v>
      </c>
    </row>
    <row r="19" spans="1:19" ht="17.25" thickBot="1" x14ac:dyDescent="0.45">
      <c r="A19" s="140" t="s">
        <v>5</v>
      </c>
      <c r="B19" s="141">
        <f>IF(C9="加入しない",0,1)</f>
        <v>0</v>
      </c>
      <c r="C19" s="141">
        <f t="shared" si="2"/>
        <v>0</v>
      </c>
      <c r="D19" s="141">
        <f t="shared" si="3"/>
        <v>0</v>
      </c>
      <c r="E19" s="141">
        <f t="shared" si="0"/>
        <v>0</v>
      </c>
      <c r="F19" s="141">
        <f t="shared" si="1"/>
        <v>0</v>
      </c>
      <c r="G19" s="141">
        <f>給与所得!D25</f>
        <v>0</v>
      </c>
      <c r="H19" s="141">
        <f t="shared" si="4"/>
        <v>0</v>
      </c>
      <c r="I19" s="141">
        <f t="shared" si="5"/>
        <v>0</v>
      </c>
      <c r="J19" s="141">
        <f t="shared" si="6"/>
        <v>0</v>
      </c>
      <c r="K19" s="141">
        <f>年金所得!E27</f>
        <v>0</v>
      </c>
      <c r="L19" s="141">
        <f t="shared" si="7"/>
        <v>0</v>
      </c>
      <c r="M19" s="141">
        <f t="shared" si="8"/>
        <v>0</v>
      </c>
      <c r="N19" s="141">
        <f t="shared" si="9"/>
        <v>0</v>
      </c>
      <c r="P19" s="136" t="s">
        <v>5</v>
      </c>
      <c r="Q19" s="149">
        <f t="shared" si="10"/>
        <v>0</v>
      </c>
      <c r="R19" s="149">
        <f t="shared" si="11"/>
        <v>0</v>
      </c>
      <c r="S19" s="149">
        <f t="shared" si="12"/>
        <v>0</v>
      </c>
    </row>
    <row r="20" spans="1:19" ht="17.25" thickTop="1" x14ac:dyDescent="0.4">
      <c r="A20" s="129" t="s">
        <v>32</v>
      </c>
      <c r="B20" s="130">
        <f>SUM(B14:B19)</f>
        <v>1</v>
      </c>
      <c r="C20" s="131"/>
      <c r="D20" s="132">
        <f>SUM(D14:D19)</f>
        <v>0</v>
      </c>
      <c r="E20" s="132">
        <f>SUM(E14:E19)</f>
        <v>0</v>
      </c>
      <c r="F20" s="131"/>
      <c r="G20" s="133"/>
      <c r="H20" s="133"/>
      <c r="I20" s="133"/>
      <c r="J20" s="133"/>
      <c r="K20" s="133"/>
      <c r="L20" s="133"/>
      <c r="M20" s="155">
        <f>SUM(M14:M19)</f>
        <v>0</v>
      </c>
      <c r="N20" s="155">
        <f>SUM(N14:N19)</f>
        <v>0</v>
      </c>
    </row>
    <row r="22" spans="1:19" ht="23.25" customHeight="1" x14ac:dyDescent="0.4">
      <c r="A22" s="111" t="s">
        <v>173</v>
      </c>
    </row>
    <row r="23" spans="1:19" ht="23.25" customHeight="1" x14ac:dyDescent="0.4">
      <c r="A23" s="111" t="s">
        <v>175</v>
      </c>
      <c r="N23" s="124"/>
      <c r="P23" s="150" t="s">
        <v>174</v>
      </c>
    </row>
    <row r="24" spans="1:19" ht="24" customHeight="1" x14ac:dyDescent="0.4">
      <c r="A24" s="302"/>
      <c r="B24" s="303" t="s">
        <v>150</v>
      </c>
      <c r="C24" s="303" t="s">
        <v>149</v>
      </c>
      <c r="D24" s="303" t="s">
        <v>151</v>
      </c>
      <c r="E24" s="303" t="s">
        <v>153</v>
      </c>
      <c r="F24" s="303" t="s">
        <v>188</v>
      </c>
      <c r="G24" s="303" t="s">
        <v>152</v>
      </c>
      <c r="H24" s="303" t="s">
        <v>44</v>
      </c>
      <c r="I24" s="303" t="s">
        <v>111</v>
      </c>
      <c r="J24" s="304" t="s">
        <v>45</v>
      </c>
      <c r="K24" s="303" t="s">
        <v>155</v>
      </c>
      <c r="L24" s="303" t="s">
        <v>156</v>
      </c>
      <c r="M24" s="304" t="s">
        <v>10</v>
      </c>
      <c r="N24" s="303" t="s">
        <v>141</v>
      </c>
      <c r="O24" s="125"/>
      <c r="P24" s="296"/>
      <c r="Q24" s="300" t="s">
        <v>164</v>
      </c>
      <c r="R24" s="300"/>
      <c r="S24" s="313" t="s">
        <v>76</v>
      </c>
    </row>
    <row r="25" spans="1:19" ht="24" customHeight="1" x14ac:dyDescent="0.4">
      <c r="A25" s="302"/>
      <c r="B25" s="303"/>
      <c r="C25" s="303"/>
      <c r="D25" s="303"/>
      <c r="E25" s="303"/>
      <c r="F25" s="303"/>
      <c r="G25" s="303"/>
      <c r="H25" s="303"/>
      <c r="I25" s="303"/>
      <c r="J25" s="304"/>
      <c r="K25" s="303"/>
      <c r="L25" s="303"/>
      <c r="M25" s="304"/>
      <c r="N25" s="303"/>
      <c r="O25" s="125"/>
      <c r="P25" s="297"/>
      <c r="Q25" s="109" t="s">
        <v>44</v>
      </c>
      <c r="R25" s="109" t="s">
        <v>45</v>
      </c>
      <c r="S25" s="314"/>
    </row>
    <row r="26" spans="1:19" x14ac:dyDescent="0.4">
      <c r="A26" s="98" t="s">
        <v>0</v>
      </c>
      <c r="B26" s="103">
        <f t="shared" ref="B26:C31" si="13">B14</f>
        <v>1</v>
      </c>
      <c r="C26" s="103">
        <f t="shared" si="13"/>
        <v>0</v>
      </c>
      <c r="D26" s="103">
        <f t="shared" ref="D26:E31" si="14">F14</f>
        <v>0</v>
      </c>
      <c r="E26" s="105">
        <f t="shared" si="14"/>
        <v>0</v>
      </c>
      <c r="F26" s="105">
        <f>IF(D26=1,ROUNDDOWN(E26/100*30,0),0)</f>
        <v>0</v>
      </c>
      <c r="G26" s="103">
        <f t="shared" ref="G26:G31" si="15">S26</f>
        <v>0</v>
      </c>
      <c r="H26" s="103">
        <f t="shared" ref="H26:H31" si="16">E26-G26</f>
        <v>0</v>
      </c>
      <c r="I26" s="102">
        <f>IF(D26=1,F26-G26,0)</f>
        <v>0</v>
      </c>
      <c r="J26" s="103">
        <f t="shared" ref="J26:J31" si="17">K14</f>
        <v>0</v>
      </c>
      <c r="K26" s="103">
        <f>IF(C26=1,IF(J26&gt;150000,150000,J26),0)</f>
        <v>0</v>
      </c>
      <c r="L26" s="103">
        <f>J26-K26</f>
        <v>0</v>
      </c>
      <c r="M26" s="103">
        <f t="shared" ref="M26:M31" si="18">F4</f>
        <v>0</v>
      </c>
      <c r="N26" s="102">
        <f t="shared" ref="N26:N31" si="19">IF(F14=1,I26+L26+M26,H26+L26+M26)</f>
        <v>0</v>
      </c>
      <c r="O26" s="126"/>
      <c r="P26" s="98" t="s">
        <v>0</v>
      </c>
      <c r="Q26" s="148">
        <f>IF(D26=1,IF(F26&gt;100000,100000,F26),IF(E26&gt;100000,100000,E26))</f>
        <v>0</v>
      </c>
      <c r="R26" s="148">
        <f t="shared" ref="R26:R31" si="20">IF(L26&gt;100000,100000,L26)</f>
        <v>0</v>
      </c>
      <c r="S26" s="148">
        <f>IF((Q26+R26)&gt;=100000,Q26+R26-100000,0)</f>
        <v>0</v>
      </c>
    </row>
    <row r="27" spans="1:19" x14ac:dyDescent="0.4">
      <c r="A27" s="136" t="s">
        <v>1</v>
      </c>
      <c r="B27" s="143">
        <f t="shared" si="13"/>
        <v>0</v>
      </c>
      <c r="C27" s="143">
        <f t="shared" si="13"/>
        <v>0</v>
      </c>
      <c r="D27" s="143">
        <f t="shared" si="14"/>
        <v>0</v>
      </c>
      <c r="E27" s="144">
        <f t="shared" si="14"/>
        <v>0</v>
      </c>
      <c r="F27" s="144">
        <f t="shared" ref="F27:F31" si="21">IF(D27=1,ROUNDDOWN(E27/100*30,0),0)</f>
        <v>0</v>
      </c>
      <c r="G27" s="143">
        <f t="shared" si="15"/>
        <v>0</v>
      </c>
      <c r="H27" s="143">
        <f t="shared" si="16"/>
        <v>0</v>
      </c>
      <c r="I27" s="139">
        <f t="shared" ref="I27:I31" si="22">IF(D27=1,F27-G27,0)</f>
        <v>0</v>
      </c>
      <c r="J27" s="143">
        <f t="shared" si="17"/>
        <v>0</v>
      </c>
      <c r="K27" s="143">
        <f t="shared" ref="K27:K31" si="23">IF(C27=1,IF(J27&gt;150000,150000,J27),0)</f>
        <v>0</v>
      </c>
      <c r="L27" s="143">
        <f t="shared" ref="L27:L31" si="24">J27-K27</f>
        <v>0</v>
      </c>
      <c r="M27" s="143">
        <f t="shared" si="18"/>
        <v>0</v>
      </c>
      <c r="N27" s="139">
        <f t="shared" si="19"/>
        <v>0</v>
      </c>
      <c r="O27" s="126"/>
      <c r="P27" s="136" t="s">
        <v>1</v>
      </c>
      <c r="Q27" s="149">
        <f t="shared" ref="Q27:Q31" si="25">IF(D27=1,IF(F27&gt;100000,100000,F27),IF(E27&gt;100000,100000,E27))</f>
        <v>0</v>
      </c>
      <c r="R27" s="149">
        <f t="shared" si="20"/>
        <v>0</v>
      </c>
      <c r="S27" s="149">
        <f>IF((Q27+R27)&gt;=100000,Q27+R27-100000,0)</f>
        <v>0</v>
      </c>
    </row>
    <row r="28" spans="1:19" x14ac:dyDescent="0.4">
      <c r="A28" s="98" t="s">
        <v>2</v>
      </c>
      <c r="B28" s="103">
        <f t="shared" si="13"/>
        <v>0</v>
      </c>
      <c r="C28" s="103">
        <f t="shared" si="13"/>
        <v>0</v>
      </c>
      <c r="D28" s="103">
        <f t="shared" si="14"/>
        <v>0</v>
      </c>
      <c r="E28" s="105">
        <f t="shared" si="14"/>
        <v>0</v>
      </c>
      <c r="F28" s="105">
        <f t="shared" si="21"/>
        <v>0</v>
      </c>
      <c r="G28" s="103">
        <f t="shared" si="15"/>
        <v>0</v>
      </c>
      <c r="H28" s="103">
        <f t="shared" si="16"/>
        <v>0</v>
      </c>
      <c r="I28" s="102">
        <f t="shared" si="22"/>
        <v>0</v>
      </c>
      <c r="J28" s="103">
        <f t="shared" si="17"/>
        <v>0</v>
      </c>
      <c r="K28" s="103">
        <f t="shared" si="23"/>
        <v>0</v>
      </c>
      <c r="L28" s="103">
        <f t="shared" si="24"/>
        <v>0</v>
      </c>
      <c r="M28" s="103">
        <f t="shared" si="18"/>
        <v>0</v>
      </c>
      <c r="N28" s="102">
        <f t="shared" si="19"/>
        <v>0</v>
      </c>
      <c r="O28" s="122"/>
      <c r="P28" s="98" t="s">
        <v>2</v>
      </c>
      <c r="Q28" s="148">
        <f t="shared" si="25"/>
        <v>0</v>
      </c>
      <c r="R28" s="148">
        <f t="shared" si="20"/>
        <v>0</v>
      </c>
      <c r="S28" s="148">
        <f>IF((Q28+R28)&gt;=100000,Q28+R28-100000,0)</f>
        <v>0</v>
      </c>
    </row>
    <row r="29" spans="1:19" x14ac:dyDescent="0.4">
      <c r="A29" s="136" t="s">
        <v>3</v>
      </c>
      <c r="B29" s="143">
        <f t="shared" si="13"/>
        <v>0</v>
      </c>
      <c r="C29" s="143">
        <f t="shared" si="13"/>
        <v>0</v>
      </c>
      <c r="D29" s="143">
        <f t="shared" si="14"/>
        <v>0</v>
      </c>
      <c r="E29" s="144">
        <f t="shared" si="14"/>
        <v>0</v>
      </c>
      <c r="F29" s="144">
        <f t="shared" si="21"/>
        <v>0</v>
      </c>
      <c r="G29" s="143">
        <f t="shared" si="15"/>
        <v>0</v>
      </c>
      <c r="H29" s="143">
        <f t="shared" si="16"/>
        <v>0</v>
      </c>
      <c r="I29" s="139">
        <f t="shared" si="22"/>
        <v>0</v>
      </c>
      <c r="J29" s="143">
        <f t="shared" si="17"/>
        <v>0</v>
      </c>
      <c r="K29" s="143">
        <f t="shared" si="23"/>
        <v>0</v>
      </c>
      <c r="L29" s="143">
        <f t="shared" si="24"/>
        <v>0</v>
      </c>
      <c r="M29" s="143">
        <f t="shared" si="18"/>
        <v>0</v>
      </c>
      <c r="N29" s="139">
        <f t="shared" si="19"/>
        <v>0</v>
      </c>
      <c r="O29" s="122"/>
      <c r="P29" s="136" t="s">
        <v>3</v>
      </c>
      <c r="Q29" s="149">
        <f t="shared" si="25"/>
        <v>0</v>
      </c>
      <c r="R29" s="149">
        <f t="shared" si="20"/>
        <v>0</v>
      </c>
      <c r="S29" s="149">
        <f>IF((Q29+R29)&gt;=100000,Q29+R29-100000,0)</f>
        <v>0</v>
      </c>
    </row>
    <row r="30" spans="1:19" x14ac:dyDescent="0.4">
      <c r="A30" s="98" t="s">
        <v>4</v>
      </c>
      <c r="B30" s="103">
        <f t="shared" si="13"/>
        <v>0</v>
      </c>
      <c r="C30" s="103">
        <f t="shared" si="13"/>
        <v>0</v>
      </c>
      <c r="D30" s="103">
        <f t="shared" si="14"/>
        <v>0</v>
      </c>
      <c r="E30" s="105">
        <f t="shared" si="14"/>
        <v>0</v>
      </c>
      <c r="F30" s="105">
        <f t="shared" si="21"/>
        <v>0</v>
      </c>
      <c r="G30" s="103">
        <f t="shared" si="15"/>
        <v>0</v>
      </c>
      <c r="H30" s="103">
        <f t="shared" si="16"/>
        <v>0</v>
      </c>
      <c r="I30" s="102">
        <f t="shared" si="22"/>
        <v>0</v>
      </c>
      <c r="J30" s="103">
        <f t="shared" si="17"/>
        <v>0</v>
      </c>
      <c r="K30" s="103">
        <f t="shared" si="23"/>
        <v>0</v>
      </c>
      <c r="L30" s="103">
        <f t="shared" si="24"/>
        <v>0</v>
      </c>
      <c r="M30" s="103">
        <f t="shared" si="18"/>
        <v>0</v>
      </c>
      <c r="N30" s="102">
        <f t="shared" si="19"/>
        <v>0</v>
      </c>
      <c r="O30" s="122"/>
      <c r="P30" s="98" t="s">
        <v>4</v>
      </c>
      <c r="Q30" s="148">
        <f t="shared" si="25"/>
        <v>0</v>
      </c>
      <c r="R30" s="148">
        <f t="shared" si="20"/>
        <v>0</v>
      </c>
      <c r="S30" s="148">
        <f t="shared" ref="S30:S31" si="26">IF((Q30+R30)&gt;=100000,Q30+R30-100000,0)</f>
        <v>0</v>
      </c>
    </row>
    <row r="31" spans="1:19" ht="17.25" thickBot="1" x14ac:dyDescent="0.45">
      <c r="A31" s="140" t="s">
        <v>5</v>
      </c>
      <c r="B31" s="145">
        <f t="shared" si="13"/>
        <v>0</v>
      </c>
      <c r="C31" s="145">
        <f t="shared" si="13"/>
        <v>0</v>
      </c>
      <c r="D31" s="145">
        <f t="shared" si="14"/>
        <v>0</v>
      </c>
      <c r="E31" s="146">
        <f t="shared" si="14"/>
        <v>0</v>
      </c>
      <c r="F31" s="146">
        <f t="shared" si="21"/>
        <v>0</v>
      </c>
      <c r="G31" s="145">
        <f t="shared" si="15"/>
        <v>0</v>
      </c>
      <c r="H31" s="145">
        <f t="shared" si="16"/>
        <v>0</v>
      </c>
      <c r="I31" s="141">
        <f t="shared" si="22"/>
        <v>0</v>
      </c>
      <c r="J31" s="145">
        <f t="shared" si="17"/>
        <v>0</v>
      </c>
      <c r="K31" s="145">
        <f t="shared" si="23"/>
        <v>0</v>
      </c>
      <c r="L31" s="145">
        <f t="shared" si="24"/>
        <v>0</v>
      </c>
      <c r="M31" s="145">
        <f t="shared" si="18"/>
        <v>0</v>
      </c>
      <c r="N31" s="141">
        <f t="shared" si="19"/>
        <v>0</v>
      </c>
      <c r="O31" s="122"/>
      <c r="P31" s="136" t="s">
        <v>5</v>
      </c>
      <c r="Q31" s="149">
        <f t="shared" si="25"/>
        <v>0</v>
      </c>
      <c r="R31" s="149">
        <f t="shared" si="20"/>
        <v>0</v>
      </c>
      <c r="S31" s="149">
        <f t="shared" si="26"/>
        <v>0</v>
      </c>
    </row>
    <row r="32" spans="1:19" ht="17.25" thickTop="1" x14ac:dyDescent="0.4">
      <c r="A32" s="129" t="s">
        <v>32</v>
      </c>
      <c r="B32" s="130">
        <f>SUM(B26:B31)</f>
        <v>1</v>
      </c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0">
        <f>SUM(N26:N31)</f>
        <v>0</v>
      </c>
      <c r="O32" s="123"/>
    </row>
    <row r="33" spans="1:19" ht="16.5" customHeight="1" x14ac:dyDescent="0.4">
      <c r="J33" s="93"/>
      <c r="K33" s="93"/>
    </row>
    <row r="34" spans="1:19" ht="19.5" x14ac:dyDescent="0.4">
      <c r="A34" s="111" t="s">
        <v>176</v>
      </c>
      <c r="G34" s="111" t="s">
        <v>177</v>
      </c>
      <c r="K34" s="95"/>
      <c r="L34" s="96"/>
    </row>
    <row r="35" spans="1:19" ht="27.75" customHeight="1" x14ac:dyDescent="0.4">
      <c r="A35" s="296"/>
      <c r="B35" s="294" t="s">
        <v>154</v>
      </c>
      <c r="C35" s="317" t="s">
        <v>182</v>
      </c>
      <c r="D35" s="318"/>
      <c r="E35" s="319"/>
      <c r="G35" s="310" t="s">
        <v>187</v>
      </c>
      <c r="H35" s="300" t="s">
        <v>160</v>
      </c>
      <c r="I35" s="300" t="s">
        <v>159</v>
      </c>
      <c r="J35" s="300"/>
      <c r="K35" s="300"/>
      <c r="L35" s="300"/>
      <c r="M35" s="310" t="s">
        <v>195</v>
      </c>
      <c r="N35" s="300"/>
      <c r="O35" s="300"/>
      <c r="P35" s="300"/>
      <c r="Q35" s="300"/>
      <c r="R35" s="300"/>
      <c r="S35" s="300"/>
    </row>
    <row r="36" spans="1:19" ht="63.75" customHeight="1" x14ac:dyDescent="0.4">
      <c r="A36" s="297"/>
      <c r="B36" s="295"/>
      <c r="C36" s="110" t="s">
        <v>109</v>
      </c>
      <c r="D36" s="110" t="s">
        <v>165</v>
      </c>
      <c r="E36" s="110" t="s">
        <v>166</v>
      </c>
      <c r="G36" s="310"/>
      <c r="H36" s="300"/>
      <c r="I36" s="109" t="s">
        <v>161</v>
      </c>
      <c r="J36" s="179" t="s">
        <v>181</v>
      </c>
      <c r="K36" s="180" t="s">
        <v>157</v>
      </c>
      <c r="L36" s="109" t="s">
        <v>158</v>
      </c>
      <c r="M36" s="300"/>
      <c r="N36" s="300"/>
      <c r="O36" s="300"/>
      <c r="P36" s="300"/>
      <c r="Q36" s="300"/>
      <c r="R36" s="300"/>
      <c r="S36" s="300"/>
    </row>
    <row r="37" spans="1:19" ht="18.75" x14ac:dyDescent="0.4">
      <c r="A37" s="98" t="s">
        <v>0</v>
      </c>
      <c r="B37" s="98">
        <f>IF(SUM(C37:E37)=0,0,1)</f>
        <v>0</v>
      </c>
      <c r="C37" s="106">
        <f t="shared" ref="C37:C42" si="27">IF(D4&gt;=550000,1,0)</f>
        <v>0</v>
      </c>
      <c r="D37" s="106">
        <f t="shared" ref="D37:D42" si="28">IF(C26=1,0,IF(E4&gt;=600000,1,0))</f>
        <v>0</v>
      </c>
      <c r="E37" s="106">
        <f t="shared" ref="E37:E42" si="29">IF(C26=2,0,IF(E4&gt;=1250000,1,0))</f>
        <v>0</v>
      </c>
      <c r="G37" s="98">
        <f>IF(B20=0,"",IF(N32&lt;=I37,7,""))</f>
        <v>7</v>
      </c>
      <c r="H37" s="98" t="s">
        <v>78</v>
      </c>
      <c r="I37" s="99">
        <f>SUM(J37:L37)</f>
        <v>430000</v>
      </c>
      <c r="J37" s="181">
        <f>P4</f>
        <v>430000</v>
      </c>
      <c r="K37" s="183">
        <f>Q4</f>
        <v>0</v>
      </c>
      <c r="L37" s="99">
        <f>IF(B43=0,0,R4*(B43-1))</f>
        <v>0</v>
      </c>
      <c r="M37" s="308" t="s">
        <v>194</v>
      </c>
      <c r="N37" s="309"/>
      <c r="O37" s="309"/>
      <c r="P37" s="309"/>
      <c r="Q37" s="309"/>
      <c r="R37" s="309"/>
      <c r="S37" s="309"/>
    </row>
    <row r="38" spans="1:19" ht="18.75" x14ac:dyDescent="0.4">
      <c r="A38" s="136" t="s">
        <v>1</v>
      </c>
      <c r="B38" s="136">
        <f t="shared" ref="B38:B42" si="30">IF(SUM(C38:E38)=0,0,1)</f>
        <v>0</v>
      </c>
      <c r="C38" s="106">
        <f t="shared" si="27"/>
        <v>0</v>
      </c>
      <c r="D38" s="106">
        <f t="shared" si="28"/>
        <v>0</v>
      </c>
      <c r="E38" s="106">
        <f t="shared" si="29"/>
        <v>0</v>
      </c>
      <c r="G38" s="136" t="str">
        <f>IF(B20=0,"",IF(SUM(G37)&gt;0,"",IF(I38&gt;=N32,5,"")))</f>
        <v/>
      </c>
      <c r="H38" s="136" t="s">
        <v>79</v>
      </c>
      <c r="I38" s="142">
        <f>SUM(J38:L38)</f>
        <v>735000</v>
      </c>
      <c r="J38" s="182">
        <f>P5</f>
        <v>430000</v>
      </c>
      <c r="K38" s="184">
        <f>Q5*B32</f>
        <v>305000</v>
      </c>
      <c r="L38" s="142">
        <f>IF(B43=0,0,R5*(B43-1))</f>
        <v>0</v>
      </c>
      <c r="M38" s="306" t="s">
        <v>196</v>
      </c>
      <c r="N38" s="307"/>
      <c r="O38" s="307"/>
      <c r="P38" s="307"/>
      <c r="Q38" s="307"/>
      <c r="R38" s="307"/>
      <c r="S38" s="307"/>
    </row>
    <row r="39" spans="1:19" ht="18.75" x14ac:dyDescent="0.4">
      <c r="A39" s="98" t="s">
        <v>2</v>
      </c>
      <c r="B39" s="98">
        <f t="shared" si="30"/>
        <v>0</v>
      </c>
      <c r="C39" s="106">
        <f t="shared" si="27"/>
        <v>0</v>
      </c>
      <c r="D39" s="106">
        <f t="shared" si="28"/>
        <v>0</v>
      </c>
      <c r="E39" s="106">
        <f t="shared" si="29"/>
        <v>0</v>
      </c>
      <c r="G39" s="98" t="str">
        <f>IF(B20=0,"",IF(SUM(G37:G38)&gt;0,"",IF(N32&lt;=I39,2,"")))</f>
        <v/>
      </c>
      <c r="H39" s="98" t="s">
        <v>80</v>
      </c>
      <c r="I39" s="99">
        <f>SUM(J39:L39)</f>
        <v>990000</v>
      </c>
      <c r="J39" s="181">
        <f>P6</f>
        <v>430000</v>
      </c>
      <c r="K39" s="183">
        <f>Q6*B32</f>
        <v>560000</v>
      </c>
      <c r="L39" s="99">
        <f>IF(B43=0,0,R6*(B43-1))</f>
        <v>0</v>
      </c>
      <c r="M39" s="308" t="s">
        <v>197</v>
      </c>
      <c r="N39" s="309"/>
      <c r="O39" s="309"/>
      <c r="P39" s="309"/>
      <c r="Q39" s="309"/>
      <c r="R39" s="309"/>
      <c r="S39" s="309"/>
    </row>
    <row r="40" spans="1:19" ht="18.75" x14ac:dyDescent="0.4">
      <c r="A40" s="136" t="s">
        <v>3</v>
      </c>
      <c r="B40" s="136">
        <f t="shared" si="30"/>
        <v>0</v>
      </c>
      <c r="C40" s="106">
        <f t="shared" si="27"/>
        <v>0</v>
      </c>
      <c r="D40" s="106">
        <f t="shared" si="28"/>
        <v>0</v>
      </c>
      <c r="E40" s="106">
        <f t="shared" si="29"/>
        <v>0</v>
      </c>
      <c r="F40" s="94"/>
      <c r="G40" s="136" t="str">
        <f>IF(B32=0,"",IF(SUM(G37:G39)&gt;0,"",0))</f>
        <v/>
      </c>
      <c r="H40" s="136" t="s">
        <v>167</v>
      </c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</row>
    <row r="41" spans="1:19" ht="18.75" x14ac:dyDescent="0.4">
      <c r="A41" s="98" t="s">
        <v>4</v>
      </c>
      <c r="B41" s="98">
        <f t="shared" si="30"/>
        <v>0</v>
      </c>
      <c r="C41" s="106">
        <f t="shared" si="27"/>
        <v>0</v>
      </c>
      <c r="D41" s="106">
        <f t="shared" si="28"/>
        <v>0</v>
      </c>
      <c r="E41" s="106">
        <f t="shared" si="29"/>
        <v>0</v>
      </c>
      <c r="F41" s="94"/>
      <c r="J41" s="94"/>
      <c r="K41" s="94"/>
      <c r="L41" s="94"/>
      <c r="M41" s="94"/>
    </row>
    <row r="42" spans="1:19" ht="19.5" thickBot="1" x14ac:dyDescent="0.45">
      <c r="A42" s="140" t="s">
        <v>5</v>
      </c>
      <c r="B42" s="140">
        <f t="shared" si="30"/>
        <v>0</v>
      </c>
      <c r="C42" s="135">
        <f t="shared" si="27"/>
        <v>0</v>
      </c>
      <c r="D42" s="135">
        <f t="shared" si="28"/>
        <v>0</v>
      </c>
      <c r="E42" s="135">
        <f t="shared" si="29"/>
        <v>0</v>
      </c>
      <c r="F42" s="94"/>
      <c r="J42" s="94"/>
      <c r="K42" s="94"/>
      <c r="L42" s="94"/>
      <c r="M42" s="94"/>
    </row>
    <row r="43" spans="1:19" ht="17.25" thickTop="1" x14ac:dyDescent="0.4">
      <c r="A43" s="129" t="s">
        <v>32</v>
      </c>
      <c r="B43" s="129">
        <f>SUM(B37:B42)</f>
        <v>0</v>
      </c>
      <c r="C43" s="134"/>
      <c r="D43" s="134"/>
      <c r="E43" s="134"/>
      <c r="F43" s="94"/>
      <c r="G43" s="94"/>
    </row>
    <row r="44" spans="1:19" x14ac:dyDescent="0.4">
      <c r="D44" s="94"/>
      <c r="E44" s="94"/>
    </row>
    <row r="47" spans="1:19" ht="20.25" customHeight="1" x14ac:dyDescent="0.4"/>
    <row r="48" spans="1:19" x14ac:dyDescent="0.4">
      <c r="F48" s="101"/>
      <c r="G48" s="101"/>
      <c r="H48" s="101"/>
      <c r="I48" s="101"/>
    </row>
    <row r="49" spans="1:9" ht="32.25" customHeight="1" x14ac:dyDescent="0.4">
      <c r="B49" s="92"/>
      <c r="C49" s="92"/>
      <c r="D49" s="92"/>
      <c r="E49" s="101"/>
      <c r="F49" s="101"/>
      <c r="G49" s="101"/>
      <c r="H49" s="101"/>
      <c r="I49" s="101"/>
    </row>
    <row r="50" spans="1:9" x14ac:dyDescent="0.4">
      <c r="B50" s="101"/>
      <c r="C50" s="101"/>
      <c r="D50" s="101"/>
      <c r="E50" s="101"/>
    </row>
    <row r="57" spans="1:9" x14ac:dyDescent="0.4">
      <c r="A57" s="97"/>
    </row>
  </sheetData>
  <sheetProtection algorithmName="SHA-512" hashValue="Ylz7Ewm4K+PAiUy4ZNw7XYA1upZiOaVaIVEaHvopG69j9v0EDpE+zFYm3/cDGa4vjSUhKdVlzlc1ivWhy3E6vg==" saltValue="Lwe0UejNrFRu367gPNwfEg==" spinCount="100000" sheet="1" selectLockedCells="1"/>
  <mergeCells count="44">
    <mergeCell ref="M38:S38"/>
    <mergeCell ref="M39:S39"/>
    <mergeCell ref="M35:S36"/>
    <mergeCell ref="D12:D13"/>
    <mergeCell ref="S24:S25"/>
    <mergeCell ref="I35:L35"/>
    <mergeCell ref="H35:H36"/>
    <mergeCell ref="G35:G36"/>
    <mergeCell ref="M37:S37"/>
    <mergeCell ref="E24:E25"/>
    <mergeCell ref="D24:D25"/>
    <mergeCell ref="S12:S13"/>
    <mergeCell ref="C35:E35"/>
    <mergeCell ref="P12:P13"/>
    <mergeCell ref="L12:L13"/>
    <mergeCell ref="M12:M13"/>
    <mergeCell ref="N12:N13"/>
    <mergeCell ref="B12:B13"/>
    <mergeCell ref="C12:C13"/>
    <mergeCell ref="E12:E13"/>
    <mergeCell ref="F12:F13"/>
    <mergeCell ref="G12:G13"/>
    <mergeCell ref="G24:G25"/>
    <mergeCell ref="C24:C25"/>
    <mergeCell ref="B24:B25"/>
    <mergeCell ref="J24:J25"/>
    <mergeCell ref="P24:P25"/>
    <mergeCell ref="F24:F25"/>
    <mergeCell ref="B35:B36"/>
    <mergeCell ref="A35:A36"/>
    <mergeCell ref="A12:A13"/>
    <mergeCell ref="Q12:R12"/>
    <mergeCell ref="Q24:R24"/>
    <mergeCell ref="H12:H13"/>
    <mergeCell ref="I12:I13"/>
    <mergeCell ref="J12:J13"/>
    <mergeCell ref="K12:K13"/>
    <mergeCell ref="A24:A25"/>
    <mergeCell ref="N24:N25"/>
    <mergeCell ref="M24:M25"/>
    <mergeCell ref="L24:L25"/>
    <mergeCell ref="K24:K25"/>
    <mergeCell ref="I24:I25"/>
    <mergeCell ref="H24:H25"/>
  </mergeCells>
  <phoneticPr fontId="3"/>
  <pageMargins left="0.39370078740157483" right="0.39370078740157483" top="0.39370078740157483" bottom="0.35433070866141736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55" zoomScale="70" zoomScaleNormal="70" workbookViewId="0">
      <selection activeCell="P15" sqref="P15:P17"/>
    </sheetView>
  </sheetViews>
  <sheetFormatPr defaultRowHeight="18.75" x14ac:dyDescent="0.4"/>
  <sheetData/>
  <sheetProtection password="9620" sheet="1" objects="1" scenarios="1"/>
  <phoneticPr fontId="3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zoomScale="85" zoomScaleNormal="85" workbookViewId="0">
      <selection activeCell="P15" sqref="P15:P17"/>
    </sheetView>
  </sheetViews>
  <sheetFormatPr defaultRowHeight="18.75" x14ac:dyDescent="0.4"/>
  <cols>
    <col min="1" max="1" width="10.375" customWidth="1"/>
    <col min="2" max="2" width="4.75" customWidth="1"/>
    <col min="3" max="4" width="11.25" customWidth="1"/>
    <col min="5" max="15" width="10.625" customWidth="1"/>
    <col min="16" max="16" width="12" customWidth="1"/>
  </cols>
  <sheetData>
    <row r="1" spans="1:10" ht="24" x14ac:dyDescent="0.4">
      <c r="A1" s="171" t="s">
        <v>185</v>
      </c>
    </row>
    <row r="2" spans="1:10" ht="9.75" customHeight="1" x14ac:dyDescent="0.4"/>
    <row r="3" spans="1:10" ht="9.75" customHeight="1" x14ac:dyDescent="0.4"/>
    <row r="4" spans="1:10" ht="9.75" customHeight="1" x14ac:dyDescent="0.4"/>
    <row r="5" spans="1:10" ht="27.75" customHeight="1" x14ac:dyDescent="0.4">
      <c r="A5" s="322" t="s">
        <v>47</v>
      </c>
      <c r="B5" s="323"/>
      <c r="C5" s="323"/>
      <c r="D5" s="323" t="s">
        <v>48</v>
      </c>
      <c r="E5" s="323"/>
      <c r="F5" s="323"/>
      <c r="G5" s="323"/>
      <c r="H5" s="323"/>
      <c r="I5" s="323"/>
      <c r="J5" s="323"/>
    </row>
    <row r="6" spans="1:10" x14ac:dyDescent="0.4">
      <c r="A6" s="166">
        <v>1</v>
      </c>
      <c r="B6" s="170" t="s">
        <v>49</v>
      </c>
      <c r="C6" s="168">
        <v>550999</v>
      </c>
      <c r="D6" s="325" t="s">
        <v>50</v>
      </c>
      <c r="E6" s="325"/>
      <c r="F6" s="325"/>
      <c r="G6" s="325"/>
      <c r="H6" s="325"/>
      <c r="I6" s="325"/>
      <c r="J6" s="325"/>
    </row>
    <row r="7" spans="1:10" x14ac:dyDescent="0.4">
      <c r="A7" s="167">
        <v>551000</v>
      </c>
      <c r="B7" s="170" t="s">
        <v>49</v>
      </c>
      <c r="C7" s="168">
        <v>1618999</v>
      </c>
      <c r="D7" s="325" t="s">
        <v>51</v>
      </c>
      <c r="E7" s="325"/>
      <c r="F7" s="325"/>
      <c r="G7" s="325"/>
      <c r="H7" s="325"/>
      <c r="I7" s="325"/>
      <c r="J7" s="325"/>
    </row>
    <row r="8" spans="1:10" x14ac:dyDescent="0.4">
      <c r="A8" s="167">
        <v>1619000</v>
      </c>
      <c r="B8" s="170" t="s">
        <v>49</v>
      </c>
      <c r="C8" s="168">
        <v>1619999</v>
      </c>
      <c r="D8" s="325" t="s">
        <v>52</v>
      </c>
      <c r="E8" s="325"/>
      <c r="F8" s="325"/>
      <c r="G8" s="325"/>
      <c r="H8" s="325"/>
      <c r="I8" s="325"/>
      <c r="J8" s="325"/>
    </row>
    <row r="9" spans="1:10" x14ac:dyDescent="0.4">
      <c r="A9" s="167">
        <v>1620000</v>
      </c>
      <c r="B9" s="170" t="s">
        <v>49</v>
      </c>
      <c r="C9" s="168">
        <v>1621999</v>
      </c>
      <c r="D9" s="325" t="s">
        <v>53</v>
      </c>
      <c r="E9" s="325"/>
      <c r="F9" s="325"/>
      <c r="G9" s="325"/>
      <c r="H9" s="325"/>
      <c r="I9" s="325"/>
      <c r="J9" s="325"/>
    </row>
    <row r="10" spans="1:10" x14ac:dyDescent="0.4">
      <c r="A10" s="167">
        <v>1622000</v>
      </c>
      <c r="B10" s="170" t="s">
        <v>49</v>
      </c>
      <c r="C10" s="168">
        <v>1623999</v>
      </c>
      <c r="D10" s="325" t="s">
        <v>54</v>
      </c>
      <c r="E10" s="325"/>
      <c r="F10" s="325"/>
      <c r="G10" s="325"/>
      <c r="H10" s="325"/>
      <c r="I10" s="325"/>
      <c r="J10" s="325"/>
    </row>
    <row r="11" spans="1:10" x14ac:dyDescent="0.4">
      <c r="A11" s="167">
        <v>1624000</v>
      </c>
      <c r="B11" s="170" t="s">
        <v>49</v>
      </c>
      <c r="C11" s="168">
        <v>1627999</v>
      </c>
      <c r="D11" s="325" t="s">
        <v>55</v>
      </c>
      <c r="E11" s="325"/>
      <c r="F11" s="325"/>
      <c r="G11" s="325"/>
      <c r="H11" s="325"/>
      <c r="I11" s="325"/>
      <c r="J11" s="325"/>
    </row>
    <row r="12" spans="1:10" x14ac:dyDescent="0.4">
      <c r="A12" s="167">
        <v>1628000</v>
      </c>
      <c r="B12" s="170" t="s">
        <v>49</v>
      </c>
      <c r="C12" s="168">
        <v>1799999</v>
      </c>
      <c r="D12" s="325" t="s">
        <v>56</v>
      </c>
      <c r="E12" s="325"/>
      <c r="F12" s="325"/>
      <c r="G12" s="325"/>
      <c r="H12" s="325"/>
      <c r="I12" s="325"/>
      <c r="J12" s="325"/>
    </row>
    <row r="13" spans="1:10" x14ac:dyDescent="0.4">
      <c r="A13" s="167">
        <v>1800000</v>
      </c>
      <c r="B13" s="170" t="s">
        <v>49</v>
      </c>
      <c r="C13" s="168">
        <v>3599999</v>
      </c>
      <c r="D13" s="325" t="s">
        <v>57</v>
      </c>
      <c r="E13" s="325"/>
      <c r="F13" s="325"/>
      <c r="G13" s="325"/>
      <c r="H13" s="325"/>
      <c r="I13" s="325"/>
      <c r="J13" s="325"/>
    </row>
    <row r="14" spans="1:10" x14ac:dyDescent="0.4">
      <c r="A14" s="167">
        <v>3600000</v>
      </c>
      <c r="B14" s="170" t="s">
        <v>49</v>
      </c>
      <c r="C14" s="168">
        <v>6599999</v>
      </c>
      <c r="D14" s="325" t="s">
        <v>58</v>
      </c>
      <c r="E14" s="325"/>
      <c r="F14" s="325"/>
      <c r="G14" s="325"/>
      <c r="H14" s="325"/>
      <c r="I14" s="325"/>
      <c r="J14" s="325"/>
    </row>
    <row r="15" spans="1:10" x14ac:dyDescent="0.4">
      <c r="A15" s="167">
        <v>6600000</v>
      </c>
      <c r="B15" s="170" t="s">
        <v>49</v>
      </c>
      <c r="C15" s="168">
        <v>8499999</v>
      </c>
      <c r="D15" s="325" t="s">
        <v>59</v>
      </c>
      <c r="E15" s="325"/>
      <c r="F15" s="325"/>
      <c r="G15" s="325"/>
      <c r="H15" s="325"/>
      <c r="I15" s="325"/>
      <c r="J15" s="325"/>
    </row>
    <row r="16" spans="1:10" x14ac:dyDescent="0.4">
      <c r="A16" s="167">
        <v>8500000</v>
      </c>
      <c r="B16" s="170" t="s">
        <v>60</v>
      </c>
      <c r="C16" s="169"/>
      <c r="D16" s="325" t="s">
        <v>61</v>
      </c>
      <c r="E16" s="325"/>
      <c r="F16" s="325"/>
      <c r="G16" s="325"/>
      <c r="H16" s="325"/>
      <c r="I16" s="325"/>
      <c r="J16" s="325"/>
    </row>
    <row r="17" spans="1:15" x14ac:dyDescent="0.4">
      <c r="A17" s="14"/>
    </row>
    <row r="19" spans="1:15" ht="23.65" customHeight="1" x14ac:dyDescent="0.4">
      <c r="A19" s="326"/>
      <c r="B19" s="326"/>
      <c r="C19" s="162" t="s">
        <v>77</v>
      </c>
      <c r="D19" s="162" t="s">
        <v>44</v>
      </c>
      <c r="E19" s="163" t="s">
        <v>87</v>
      </c>
      <c r="F19" s="163" t="s">
        <v>86</v>
      </c>
      <c r="G19" s="163" t="s">
        <v>88</v>
      </c>
      <c r="H19" s="163" t="s">
        <v>96</v>
      </c>
      <c r="I19" s="163" t="s">
        <v>89</v>
      </c>
      <c r="J19" s="163" t="s">
        <v>90</v>
      </c>
      <c r="K19" s="163" t="s">
        <v>91</v>
      </c>
      <c r="L19" s="163" t="s">
        <v>92</v>
      </c>
      <c r="M19" s="163" t="s">
        <v>93</v>
      </c>
      <c r="N19" s="163" t="s">
        <v>94</v>
      </c>
      <c r="O19" s="163" t="s">
        <v>95</v>
      </c>
    </row>
    <row r="20" spans="1:15" ht="23.65" customHeight="1" x14ac:dyDescent="0.4">
      <c r="A20" s="324" t="s">
        <v>0</v>
      </c>
      <c r="B20" s="324"/>
      <c r="C20" s="164">
        <f>計算シート!R17</f>
        <v>0</v>
      </c>
      <c r="D20" s="165">
        <f>SUM(E20:O20)</f>
        <v>0</v>
      </c>
      <c r="E20" s="165">
        <f>IF(C20&lt;=C$6,0,0)</f>
        <v>0</v>
      </c>
      <c r="F20" s="165">
        <f>IF(AND(C20&gt;=A$7,C20&lt;=C$7),C20-550000,0)</f>
        <v>0</v>
      </c>
      <c r="G20" s="165">
        <f t="shared" ref="G20:G24" si="0">IF(AND(C20&gt;=$A$8,C20&lt;=$C$8),1069000,0)</f>
        <v>0</v>
      </c>
      <c r="H20" s="165">
        <f>IF(AND(C20&gt;=$A$9,C20&lt;=$C$9),1070000,0)</f>
        <v>0</v>
      </c>
      <c r="I20" s="165">
        <f>IF(AND(C20&gt;=$A$10,C20&lt;=$C$10),1072000,0)</f>
        <v>0</v>
      </c>
      <c r="J20" s="165">
        <f>IF(AND(C20&gt;=$A$11,C20&lt;=$C$11),1074000,0)</f>
        <v>0</v>
      </c>
      <c r="K20" s="165">
        <f>IF(AND(C20&gt;=$A$12,C20&lt;=$C$12),ROUNDDOWN(C20/4,-3)*2.4+100000,0)</f>
        <v>0</v>
      </c>
      <c r="L20" s="165">
        <f t="shared" ref="L20:L25" si="1">IF(AND(C20&gt;=$A$13,C20&lt;=$C$13),ROUNDDOWN(C20/4,-3)*2.8-80000,0)</f>
        <v>0</v>
      </c>
      <c r="M20" s="165">
        <f t="shared" ref="M20:M25" si="2">IF(AND(C20&gt;=$A$14,C20&lt;=$C$14),ROUNDDOWN(C20/4,-3)*3.2-440000,0)</f>
        <v>0</v>
      </c>
      <c r="N20" s="165">
        <f>IF(AND(C20&gt;=$A$15,C20&lt;=$C$15),ROUNDDOWN(C20*0.9,0)-1100000,0)</f>
        <v>0</v>
      </c>
      <c r="O20" s="156">
        <f>IF(C20&gt;=$A$16,C20-1950000,0)</f>
        <v>0</v>
      </c>
    </row>
    <row r="21" spans="1:15" ht="22.35" customHeight="1" x14ac:dyDescent="0.4">
      <c r="A21" s="324" t="s">
        <v>81</v>
      </c>
      <c r="B21" s="324"/>
      <c r="C21" s="164">
        <f>計算シート!R19</f>
        <v>0</v>
      </c>
      <c r="D21" s="165">
        <f t="shared" ref="D21:D25" si="3">SUM(E21:O21)</f>
        <v>0</v>
      </c>
      <c r="E21" s="165">
        <f t="shared" ref="E21:E25" si="4">IF(C21&lt;=C$6,0,0)</f>
        <v>0</v>
      </c>
      <c r="F21" s="165">
        <f t="shared" ref="F21:F25" si="5">IF(AND(C21&gt;=A$7,C21&lt;=C$7),C21-550000,0)</f>
        <v>0</v>
      </c>
      <c r="G21" s="165">
        <f t="shared" si="0"/>
        <v>0</v>
      </c>
      <c r="H21" s="165">
        <f t="shared" ref="H21:H25" si="6">IF(AND(C21&gt;=$A$9,C21&lt;=$C$9),1070000,0)</f>
        <v>0</v>
      </c>
      <c r="I21" s="165">
        <f t="shared" ref="I21:I25" si="7">IF(AND(C21&gt;=$A$10,C21&lt;=$C$10),1072000,0)</f>
        <v>0</v>
      </c>
      <c r="J21" s="165">
        <f t="shared" ref="J21:J25" si="8">IF(AND(C21&gt;=$A$11,C21&lt;=$C$11),1074000,0)</f>
        <v>0</v>
      </c>
      <c r="K21" s="165">
        <f t="shared" ref="K21:K25" si="9">IF(AND(C21&gt;=$A$12,C21&lt;=$C$12),ROUNDDOWN(C21/4,-3)*2.4+100000,0)</f>
        <v>0</v>
      </c>
      <c r="L21" s="165">
        <f t="shared" si="1"/>
        <v>0</v>
      </c>
      <c r="M21" s="165">
        <f t="shared" si="2"/>
        <v>0</v>
      </c>
      <c r="N21" s="165">
        <f t="shared" ref="N21:N25" si="10">IF(AND(C21&gt;=$A$15,C21&lt;=$C$15),ROUNDDOWN(C21*0.9,0)-1100000,0)</f>
        <v>0</v>
      </c>
      <c r="O21" s="156">
        <f t="shared" ref="O21:O25" si="11">IF(C21&gt;=$A$16,C21-1950000,0)</f>
        <v>0</v>
      </c>
    </row>
    <row r="22" spans="1:15" ht="22.35" customHeight="1" x14ac:dyDescent="0.4">
      <c r="A22" s="324" t="s">
        <v>82</v>
      </c>
      <c r="B22" s="324"/>
      <c r="C22" s="164">
        <f>計算シート!R21</f>
        <v>0</v>
      </c>
      <c r="D22" s="165">
        <f t="shared" si="3"/>
        <v>0</v>
      </c>
      <c r="E22" s="165">
        <f t="shared" si="4"/>
        <v>0</v>
      </c>
      <c r="F22" s="165">
        <f t="shared" si="5"/>
        <v>0</v>
      </c>
      <c r="G22" s="165">
        <f t="shared" si="0"/>
        <v>0</v>
      </c>
      <c r="H22" s="165">
        <f t="shared" si="6"/>
        <v>0</v>
      </c>
      <c r="I22" s="165">
        <f t="shared" si="7"/>
        <v>0</v>
      </c>
      <c r="J22" s="165">
        <f t="shared" si="8"/>
        <v>0</v>
      </c>
      <c r="K22" s="165">
        <f t="shared" si="9"/>
        <v>0</v>
      </c>
      <c r="L22" s="165">
        <f t="shared" si="1"/>
        <v>0</v>
      </c>
      <c r="M22" s="165">
        <f t="shared" si="2"/>
        <v>0</v>
      </c>
      <c r="N22" s="165">
        <f t="shared" si="10"/>
        <v>0</v>
      </c>
      <c r="O22" s="156">
        <f t="shared" si="11"/>
        <v>0</v>
      </c>
    </row>
    <row r="23" spans="1:15" ht="22.35" customHeight="1" x14ac:dyDescent="0.4">
      <c r="A23" s="324" t="s">
        <v>83</v>
      </c>
      <c r="B23" s="324"/>
      <c r="C23" s="164">
        <f>計算シート!R23</f>
        <v>0</v>
      </c>
      <c r="D23" s="165">
        <f t="shared" si="3"/>
        <v>0</v>
      </c>
      <c r="E23" s="165">
        <f t="shared" si="4"/>
        <v>0</v>
      </c>
      <c r="F23" s="165">
        <f t="shared" si="5"/>
        <v>0</v>
      </c>
      <c r="G23" s="165">
        <f t="shared" si="0"/>
        <v>0</v>
      </c>
      <c r="H23" s="165">
        <f t="shared" si="6"/>
        <v>0</v>
      </c>
      <c r="I23" s="165">
        <f t="shared" si="7"/>
        <v>0</v>
      </c>
      <c r="J23" s="165">
        <f>IF(AND(C23&gt;=$A$11,C23&lt;=$C$11),1074000,0)</f>
        <v>0</v>
      </c>
      <c r="K23" s="165">
        <f t="shared" si="9"/>
        <v>0</v>
      </c>
      <c r="L23" s="165">
        <f t="shared" si="1"/>
        <v>0</v>
      </c>
      <c r="M23" s="165">
        <f t="shared" si="2"/>
        <v>0</v>
      </c>
      <c r="N23" s="165">
        <f t="shared" si="10"/>
        <v>0</v>
      </c>
      <c r="O23" s="156">
        <f t="shared" si="11"/>
        <v>0</v>
      </c>
    </row>
    <row r="24" spans="1:15" ht="22.35" customHeight="1" x14ac:dyDescent="0.4">
      <c r="A24" s="324" t="s">
        <v>84</v>
      </c>
      <c r="B24" s="324"/>
      <c r="C24" s="164">
        <f>計算シート!R25</f>
        <v>0</v>
      </c>
      <c r="D24" s="165">
        <f t="shared" si="3"/>
        <v>0</v>
      </c>
      <c r="E24" s="165">
        <f t="shared" si="4"/>
        <v>0</v>
      </c>
      <c r="F24" s="165">
        <f t="shared" si="5"/>
        <v>0</v>
      </c>
      <c r="G24" s="165">
        <f t="shared" si="0"/>
        <v>0</v>
      </c>
      <c r="H24" s="165">
        <f t="shared" si="6"/>
        <v>0</v>
      </c>
      <c r="I24" s="165">
        <f t="shared" si="7"/>
        <v>0</v>
      </c>
      <c r="J24" s="165">
        <f t="shared" si="8"/>
        <v>0</v>
      </c>
      <c r="K24" s="165">
        <f t="shared" si="9"/>
        <v>0</v>
      </c>
      <c r="L24" s="165">
        <f t="shared" si="1"/>
        <v>0</v>
      </c>
      <c r="M24" s="165">
        <f t="shared" si="2"/>
        <v>0</v>
      </c>
      <c r="N24" s="165">
        <f t="shared" si="10"/>
        <v>0</v>
      </c>
      <c r="O24" s="156">
        <f t="shared" si="11"/>
        <v>0</v>
      </c>
    </row>
    <row r="25" spans="1:15" ht="22.35" customHeight="1" x14ac:dyDescent="0.4">
      <c r="A25" s="324" t="s">
        <v>85</v>
      </c>
      <c r="B25" s="324"/>
      <c r="C25" s="164">
        <f>計算シート!R27</f>
        <v>0</v>
      </c>
      <c r="D25" s="165">
        <f t="shared" si="3"/>
        <v>0</v>
      </c>
      <c r="E25" s="165">
        <f t="shared" si="4"/>
        <v>0</v>
      </c>
      <c r="F25" s="165">
        <f t="shared" si="5"/>
        <v>0</v>
      </c>
      <c r="G25" s="165">
        <f>IF(AND(C25&gt;=$A$8,C25&lt;=$C$8),1069000,0)</f>
        <v>0</v>
      </c>
      <c r="H25" s="165">
        <f t="shared" si="6"/>
        <v>0</v>
      </c>
      <c r="I25" s="165">
        <f t="shared" si="7"/>
        <v>0</v>
      </c>
      <c r="J25" s="165">
        <f t="shared" si="8"/>
        <v>0</v>
      </c>
      <c r="K25" s="165">
        <f t="shared" si="9"/>
        <v>0</v>
      </c>
      <c r="L25" s="165">
        <f t="shared" si="1"/>
        <v>0</v>
      </c>
      <c r="M25" s="165">
        <f t="shared" si="2"/>
        <v>0</v>
      </c>
      <c r="N25" s="165">
        <f t="shared" si="10"/>
        <v>0</v>
      </c>
      <c r="O25" s="156">
        <f t="shared" si="11"/>
        <v>0</v>
      </c>
    </row>
    <row r="26" spans="1:15" ht="22.35" customHeight="1" x14ac:dyDescent="0.4"/>
    <row r="27" spans="1:15" ht="22.35" customHeight="1" x14ac:dyDescent="0.4"/>
    <row r="28" spans="1:15" ht="22.35" customHeight="1" x14ac:dyDescent="0.4"/>
    <row r="29" spans="1:15" ht="22.35" customHeight="1" x14ac:dyDescent="0.4"/>
    <row r="30" spans="1:15" ht="22.35" customHeight="1" x14ac:dyDescent="0.4"/>
    <row r="31" spans="1:15" ht="22.35" customHeight="1" x14ac:dyDescent="0.4"/>
    <row r="32" spans="1:15" ht="22.35" customHeight="1" x14ac:dyDescent="0.4"/>
    <row r="33" ht="22.35" customHeight="1" x14ac:dyDescent="0.4"/>
    <row r="34" ht="22.35" customHeight="1" x14ac:dyDescent="0.4"/>
  </sheetData>
  <sheetProtection password="9620" sheet="1" objects="1" scenarios="1" selectLockedCells="1"/>
  <mergeCells count="20">
    <mergeCell ref="A24:B24"/>
    <mergeCell ref="A25:B25"/>
    <mergeCell ref="A19:B19"/>
    <mergeCell ref="D12:J12"/>
    <mergeCell ref="D13:J13"/>
    <mergeCell ref="D14:J14"/>
    <mergeCell ref="D15:J15"/>
    <mergeCell ref="D16:J16"/>
    <mergeCell ref="A20:B20"/>
    <mergeCell ref="A5:C5"/>
    <mergeCell ref="D5:J5"/>
    <mergeCell ref="A21:B21"/>
    <mergeCell ref="A22:B22"/>
    <mergeCell ref="A23:B23"/>
    <mergeCell ref="D6:J6"/>
    <mergeCell ref="D7:J7"/>
    <mergeCell ref="D8:J8"/>
    <mergeCell ref="D9:J9"/>
    <mergeCell ref="D10:J10"/>
    <mergeCell ref="D11:J11"/>
  </mergeCells>
  <phoneticPr fontId="3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3"/>
  <sheetViews>
    <sheetView zoomScale="85" zoomScaleNormal="85" workbookViewId="0">
      <selection activeCell="P15" sqref="P15:P17"/>
    </sheetView>
  </sheetViews>
  <sheetFormatPr defaultRowHeight="18.75" x14ac:dyDescent="0.4"/>
  <cols>
    <col min="1" max="1" width="3.875" customWidth="1"/>
    <col min="2" max="2" width="12.375" customWidth="1"/>
    <col min="3" max="3" width="12.125" customWidth="1"/>
    <col min="4" max="4" width="9.5" customWidth="1"/>
    <col min="5" max="5" width="11.625" customWidth="1"/>
    <col min="6" max="8" width="11" customWidth="1"/>
    <col min="9" max="16" width="10.625" customWidth="1"/>
    <col min="17" max="17" width="14.25" customWidth="1"/>
    <col min="18" max="18" width="23.25" customWidth="1"/>
  </cols>
  <sheetData>
    <row r="1" spans="1:8" ht="24" x14ac:dyDescent="0.4">
      <c r="A1" s="171" t="s">
        <v>62</v>
      </c>
    </row>
    <row r="3" spans="1:8" x14ac:dyDescent="0.4">
      <c r="A3" t="s">
        <v>63</v>
      </c>
    </row>
    <row r="4" spans="1:8" ht="14.25" customHeight="1" x14ac:dyDescent="0.4"/>
    <row r="5" spans="1:8" x14ac:dyDescent="0.4">
      <c r="B5" t="s">
        <v>66</v>
      </c>
    </row>
    <row r="6" spans="1:8" x14ac:dyDescent="0.4">
      <c r="B6" t="s">
        <v>110</v>
      </c>
    </row>
    <row r="7" spans="1:8" ht="39" customHeight="1" x14ac:dyDescent="0.4">
      <c r="B7" s="161" t="s">
        <v>67</v>
      </c>
      <c r="C7" s="332" t="s">
        <v>68</v>
      </c>
      <c r="D7" s="333"/>
      <c r="E7" s="334"/>
      <c r="F7" s="326" t="s">
        <v>69</v>
      </c>
      <c r="G7" s="326"/>
      <c r="H7" s="326"/>
    </row>
    <row r="8" spans="1:8" x14ac:dyDescent="0.4">
      <c r="B8" s="329" t="s">
        <v>108</v>
      </c>
      <c r="C8" s="17">
        <v>1</v>
      </c>
      <c r="D8" s="18" t="s">
        <v>60</v>
      </c>
      <c r="E8" s="19">
        <v>3300000</v>
      </c>
      <c r="F8" s="324" t="s">
        <v>70</v>
      </c>
      <c r="G8" s="324"/>
      <c r="H8" s="324"/>
    </row>
    <row r="9" spans="1:8" x14ac:dyDescent="0.4">
      <c r="B9" s="330"/>
      <c r="C9" s="17">
        <v>3300001</v>
      </c>
      <c r="D9" s="18" t="s">
        <v>60</v>
      </c>
      <c r="E9" s="19">
        <v>4100000</v>
      </c>
      <c r="F9" s="324" t="s">
        <v>71</v>
      </c>
      <c r="G9" s="324"/>
      <c r="H9" s="324"/>
    </row>
    <row r="10" spans="1:8" x14ac:dyDescent="0.4">
      <c r="B10" s="330"/>
      <c r="C10" s="17">
        <v>4100001</v>
      </c>
      <c r="D10" s="18" t="s">
        <v>60</v>
      </c>
      <c r="E10" s="19">
        <v>7700000</v>
      </c>
      <c r="F10" s="324" t="s">
        <v>72</v>
      </c>
      <c r="G10" s="324"/>
      <c r="H10" s="324"/>
    </row>
    <row r="11" spans="1:8" x14ac:dyDescent="0.4">
      <c r="B11" s="330"/>
      <c r="C11" s="17">
        <v>7700001</v>
      </c>
      <c r="D11" s="18" t="s">
        <v>60</v>
      </c>
      <c r="E11" s="19">
        <v>10000000</v>
      </c>
      <c r="F11" s="324" t="s">
        <v>73</v>
      </c>
      <c r="G11" s="324"/>
      <c r="H11" s="324"/>
    </row>
    <row r="12" spans="1:8" x14ac:dyDescent="0.4">
      <c r="B12" s="331"/>
      <c r="C12" s="17">
        <v>10000001</v>
      </c>
      <c r="D12" s="18" t="s">
        <v>60</v>
      </c>
      <c r="E12" s="19"/>
      <c r="F12" s="324" t="s">
        <v>74</v>
      </c>
      <c r="G12" s="324"/>
      <c r="H12" s="324"/>
    </row>
    <row r="13" spans="1:8" x14ac:dyDescent="0.4">
      <c r="B13" s="329" t="s">
        <v>65</v>
      </c>
      <c r="C13" s="17">
        <v>1</v>
      </c>
      <c r="D13" s="18" t="s">
        <v>60</v>
      </c>
      <c r="E13" s="19">
        <v>1300000</v>
      </c>
      <c r="F13" s="324" t="s">
        <v>75</v>
      </c>
      <c r="G13" s="324"/>
      <c r="H13" s="324"/>
    </row>
    <row r="14" spans="1:8" x14ac:dyDescent="0.4">
      <c r="B14" s="330"/>
      <c r="C14" s="17">
        <v>1300001</v>
      </c>
      <c r="D14" s="18" t="s">
        <v>60</v>
      </c>
      <c r="E14" s="19">
        <v>4100000</v>
      </c>
      <c r="F14" s="324" t="s">
        <v>71</v>
      </c>
      <c r="G14" s="324"/>
      <c r="H14" s="324"/>
    </row>
    <row r="15" spans="1:8" x14ac:dyDescent="0.4">
      <c r="B15" s="330"/>
      <c r="C15" s="17">
        <v>4100001</v>
      </c>
      <c r="D15" s="18" t="s">
        <v>49</v>
      </c>
      <c r="E15" s="19">
        <v>7700000</v>
      </c>
      <c r="F15" s="324" t="s">
        <v>72</v>
      </c>
      <c r="G15" s="324"/>
      <c r="H15" s="324"/>
    </row>
    <row r="16" spans="1:8" x14ac:dyDescent="0.4">
      <c r="B16" s="330"/>
      <c r="C16" s="17">
        <v>7700001</v>
      </c>
      <c r="D16" s="18" t="s">
        <v>49</v>
      </c>
      <c r="E16" s="19">
        <v>10000000</v>
      </c>
      <c r="F16" s="324" t="s">
        <v>73</v>
      </c>
      <c r="G16" s="324"/>
      <c r="H16" s="324"/>
    </row>
    <row r="17" spans="2:16" x14ac:dyDescent="0.4">
      <c r="B17" s="331"/>
      <c r="C17" s="17">
        <v>10000001</v>
      </c>
      <c r="D17" s="18" t="s">
        <v>60</v>
      </c>
      <c r="E17" s="19"/>
      <c r="F17" s="324" t="s">
        <v>74</v>
      </c>
      <c r="G17" s="324"/>
      <c r="H17" s="324"/>
    </row>
    <row r="20" spans="2:16" x14ac:dyDescent="0.4">
      <c r="B20" s="326"/>
      <c r="C20" s="326" t="s">
        <v>104</v>
      </c>
      <c r="D20" s="326" t="s">
        <v>107</v>
      </c>
      <c r="E20" s="326" t="s">
        <v>105</v>
      </c>
      <c r="F20" s="326" t="s">
        <v>106</v>
      </c>
      <c r="G20" s="327" t="s">
        <v>64</v>
      </c>
      <c r="H20" s="328"/>
      <c r="I20" s="328"/>
      <c r="J20" s="328"/>
      <c r="K20" s="328"/>
      <c r="L20" s="328" t="s">
        <v>65</v>
      </c>
      <c r="M20" s="328"/>
      <c r="N20" s="328"/>
      <c r="O20" s="328"/>
      <c r="P20" s="328"/>
    </row>
    <row r="21" spans="2:16" x14ac:dyDescent="0.4">
      <c r="B21" s="326"/>
      <c r="C21" s="326"/>
      <c r="D21" s="326"/>
      <c r="E21" s="326"/>
      <c r="F21" s="326"/>
      <c r="G21" s="162" t="s">
        <v>97</v>
      </c>
      <c r="H21" s="162" t="s">
        <v>98</v>
      </c>
      <c r="I21" s="162" t="s">
        <v>99</v>
      </c>
      <c r="J21" s="162" t="s">
        <v>100</v>
      </c>
      <c r="K21" s="162" t="s">
        <v>101</v>
      </c>
      <c r="L21" s="162" t="s">
        <v>102</v>
      </c>
      <c r="M21" s="162" t="s">
        <v>103</v>
      </c>
      <c r="N21" s="162" t="s">
        <v>99</v>
      </c>
      <c r="O21" s="162" t="s">
        <v>100</v>
      </c>
      <c r="P21" s="162" t="s">
        <v>101</v>
      </c>
    </row>
    <row r="22" spans="2:16" x14ac:dyDescent="0.4">
      <c r="B22" s="16" t="s">
        <v>0</v>
      </c>
      <c r="C22" s="157">
        <f>計算シート!Y17</f>
        <v>0</v>
      </c>
      <c r="D22" s="158" t="str">
        <f>IF(計算シート!J17="65歳から74歳まで","65歳以上",IF(計算シート!J17="75歳以上","65歳以上","64歳以下"))</f>
        <v>64歳以下</v>
      </c>
      <c r="E22" s="159">
        <f>IF(C22&lt;F22,0,C22-F22)</f>
        <v>0</v>
      </c>
      <c r="F22" s="159">
        <f>SUM(G22:P22)</f>
        <v>0</v>
      </c>
      <c r="G22" s="160">
        <f>IF(AND(D22=$B$8,C22&gt;=$C$8,C22&lt;=$E$8),1100000,0)</f>
        <v>0</v>
      </c>
      <c r="H22" s="160">
        <f>IF(AND(D22=$B$8,C22&gt;=$C$9,C22&lt;=$E$9),ROUNDUP(C22*0.25+275000,0),0)</f>
        <v>0</v>
      </c>
      <c r="I22" s="160">
        <f>IF(AND(D22=$B$8,C22&gt;=$C$10,C22&lt;=$E$10),ROUNDUP(C22*0.15+685000,0),0)</f>
        <v>0</v>
      </c>
      <c r="J22" s="160">
        <f>IF(AND(D22=$B$8,C22&gt;=$C$11,C22&lt;=$E$11),ROUNDUP(C22*0.05+1455000,0),0)</f>
        <v>0</v>
      </c>
      <c r="K22" s="160">
        <f>IF(AND(D22=$B$8,C22&gt;=$C$12),1955000,0)</f>
        <v>0</v>
      </c>
      <c r="L22" s="160">
        <f>IF(AND(D22=$B$13,C22&gt;=$C$13,C22&lt;=$E$13),600000,0)</f>
        <v>0</v>
      </c>
      <c r="M22" s="160">
        <f>IF(AND(D22=$B$13,C22&gt;=$C$14,C22&lt;=$E$14),ROUNDUP(C22*0.25+275000,0),0)</f>
        <v>0</v>
      </c>
      <c r="N22" s="160">
        <f>IF(AND(D22=$B$13,C22&gt;=$C$15,C22&lt;=$E$15),ROUNDUP(C22*0.15+685000,0),0)</f>
        <v>0</v>
      </c>
      <c r="O22" s="160">
        <f>IF(AND(D22=$B$13,C22&gt;=$C$16,C22&lt;=$E$16),ROUNDUP(C22*0.05+1455000,0),0)</f>
        <v>0</v>
      </c>
      <c r="P22" s="160">
        <f>IF(AND(D22=$B$13,C22&gt;=$C$17),1955000,0)</f>
        <v>0</v>
      </c>
    </row>
    <row r="23" spans="2:16" x14ac:dyDescent="0.4">
      <c r="B23" s="16" t="s">
        <v>81</v>
      </c>
      <c r="C23" s="157">
        <f>計算シート!Y19</f>
        <v>0</v>
      </c>
      <c r="D23" s="158" t="str">
        <f>IF(計算シート!J19="65歳から74歳まで","65歳以上",IF(計算シート!J19="75歳以上","65歳以上","64歳以下"))</f>
        <v>64歳以下</v>
      </c>
      <c r="E23" s="159">
        <f>IF(C23&lt;F23,0,C23-F23)</f>
        <v>0</v>
      </c>
      <c r="F23" s="159">
        <f t="shared" ref="F23:F27" si="0">SUM(G23:P23)</f>
        <v>0</v>
      </c>
      <c r="G23" s="160">
        <f>IF(AND(D23=$B$8,C23&gt;=$C$8,C23&lt;=$E$8),1100000,0)</f>
        <v>0</v>
      </c>
      <c r="H23" s="160">
        <f t="shared" ref="H23:H27" si="1">IF(AND(D23=$B$8,C23&gt;=$C$9,C23&lt;=$E$9),ROUNDUP(C23*0.25+275000,0),0)</f>
        <v>0</v>
      </c>
      <c r="I23" s="160">
        <f t="shared" ref="I23:I27" si="2">IF(AND(D23=$B$8,C23&gt;=$C$10,C23&lt;=$E$10),ROUNDUP(C23*0.15+685000,0),0)</f>
        <v>0</v>
      </c>
      <c r="J23" s="160">
        <f t="shared" ref="J23:J27" si="3">IF(AND(D23=$B$8,C23&gt;=$C$11,C23&lt;=$E$11),ROUNDUP(C23*0.05+1455000,0),0)</f>
        <v>0</v>
      </c>
      <c r="K23" s="160">
        <f t="shared" ref="K23:K27" si="4">IF(AND(D23=$B$8,C23&gt;=$C$12),1955000,0)</f>
        <v>0</v>
      </c>
      <c r="L23" s="160">
        <f t="shared" ref="L23:L27" si="5">IF(AND(D23=$B$13,C23&gt;=$C$13,C23&lt;=$E$13),600000,0)</f>
        <v>0</v>
      </c>
      <c r="M23" s="160">
        <f t="shared" ref="M23:M27" si="6">IF(AND(D23=$B$13,C23&gt;=$C$14,C23&lt;=$E$14),ROUNDUP(C23*0.25+275000,0),0)</f>
        <v>0</v>
      </c>
      <c r="N23" s="160">
        <f t="shared" ref="N23:N27" si="7">IF(AND(D23=$B$13,C23&gt;=$C$15,C23&lt;=$E$15),ROUNDUP(C23*0.15+685000,0),0)</f>
        <v>0</v>
      </c>
      <c r="O23" s="160">
        <f t="shared" ref="O23:O27" si="8">IF(AND(D23=$B$13,C23&gt;=$C$16,C23&lt;=$E$16),ROUNDUP(C23*0.05+1455000,0),0)</f>
        <v>0</v>
      </c>
      <c r="P23" s="160">
        <f t="shared" ref="P23:P27" si="9">IF(AND(D23=$B$13,C23&gt;=$C$17),1955000,0)</f>
        <v>0</v>
      </c>
    </row>
    <row r="24" spans="2:16" x14ac:dyDescent="0.4">
      <c r="B24" s="16" t="s">
        <v>82</v>
      </c>
      <c r="C24" s="157">
        <f>計算シート!Y21</f>
        <v>0</v>
      </c>
      <c r="D24" s="158" t="str">
        <f>IF(計算シート!J21="65歳から74歳まで","65歳以上",IF(計算シート!J21="75歳以上","65歳以上","64歳以下"))</f>
        <v>64歳以下</v>
      </c>
      <c r="E24" s="159">
        <f t="shared" ref="E24:E27" si="10">IF(C24&lt;F24,0,C24-F24)</f>
        <v>0</v>
      </c>
      <c r="F24" s="159">
        <f t="shared" si="0"/>
        <v>0</v>
      </c>
      <c r="G24" s="160">
        <f>IF(AND(D24=$B$8,C24&gt;=$C$8,C24&lt;=$E$8),1100000,0)</f>
        <v>0</v>
      </c>
      <c r="H24" s="160">
        <f t="shared" si="1"/>
        <v>0</v>
      </c>
      <c r="I24" s="160">
        <f t="shared" si="2"/>
        <v>0</v>
      </c>
      <c r="J24" s="160">
        <f t="shared" si="3"/>
        <v>0</v>
      </c>
      <c r="K24" s="160">
        <f t="shared" si="4"/>
        <v>0</v>
      </c>
      <c r="L24" s="160">
        <f t="shared" si="5"/>
        <v>0</v>
      </c>
      <c r="M24" s="160">
        <f t="shared" si="6"/>
        <v>0</v>
      </c>
      <c r="N24" s="160">
        <f t="shared" si="7"/>
        <v>0</v>
      </c>
      <c r="O24" s="160">
        <f t="shared" si="8"/>
        <v>0</v>
      </c>
      <c r="P24" s="160">
        <f t="shared" si="9"/>
        <v>0</v>
      </c>
    </row>
    <row r="25" spans="2:16" x14ac:dyDescent="0.4">
      <c r="B25" s="16" t="s">
        <v>83</v>
      </c>
      <c r="C25" s="157">
        <f>計算シート!Y23</f>
        <v>0</v>
      </c>
      <c r="D25" s="158" t="str">
        <f>IF(計算シート!J23="65歳から74歳まで","65歳以上",IF(計算シート!J23="75歳以上","65歳以上","64歳以下"))</f>
        <v>64歳以下</v>
      </c>
      <c r="E25" s="159">
        <f t="shared" si="10"/>
        <v>0</v>
      </c>
      <c r="F25" s="159">
        <f t="shared" si="0"/>
        <v>0</v>
      </c>
      <c r="G25" s="160">
        <f t="shared" ref="G25:G27" si="11">IF(AND(D25=$B$8,C25&gt;=$C$8,C25&lt;=$E$8),1100000,0)</f>
        <v>0</v>
      </c>
      <c r="H25" s="160">
        <f t="shared" si="1"/>
        <v>0</v>
      </c>
      <c r="I25" s="160">
        <f t="shared" si="2"/>
        <v>0</v>
      </c>
      <c r="J25" s="160">
        <f t="shared" si="3"/>
        <v>0</v>
      </c>
      <c r="K25" s="160">
        <f t="shared" si="4"/>
        <v>0</v>
      </c>
      <c r="L25" s="160">
        <f t="shared" si="5"/>
        <v>0</v>
      </c>
      <c r="M25" s="160">
        <f t="shared" si="6"/>
        <v>0</v>
      </c>
      <c r="N25" s="160">
        <f t="shared" si="7"/>
        <v>0</v>
      </c>
      <c r="O25" s="160">
        <f t="shared" si="8"/>
        <v>0</v>
      </c>
      <c r="P25" s="160">
        <f t="shared" si="9"/>
        <v>0</v>
      </c>
    </row>
    <row r="26" spans="2:16" x14ac:dyDescent="0.4">
      <c r="B26" s="16" t="s">
        <v>84</v>
      </c>
      <c r="C26" s="157">
        <f>計算シート!Y25</f>
        <v>0</v>
      </c>
      <c r="D26" s="158" t="str">
        <f>IF(計算シート!J25="65歳から74歳まで","65歳以上",IF(計算シート!J25="75歳以上","65歳以上","64歳以下"))</f>
        <v>64歳以下</v>
      </c>
      <c r="E26" s="159">
        <f t="shared" si="10"/>
        <v>0</v>
      </c>
      <c r="F26" s="159">
        <f t="shared" si="0"/>
        <v>0</v>
      </c>
      <c r="G26" s="160">
        <f t="shared" si="11"/>
        <v>0</v>
      </c>
      <c r="H26" s="160">
        <f t="shared" si="1"/>
        <v>0</v>
      </c>
      <c r="I26" s="160">
        <f t="shared" si="2"/>
        <v>0</v>
      </c>
      <c r="J26" s="160">
        <f t="shared" si="3"/>
        <v>0</v>
      </c>
      <c r="K26" s="160">
        <f t="shared" si="4"/>
        <v>0</v>
      </c>
      <c r="L26" s="160">
        <f t="shared" si="5"/>
        <v>0</v>
      </c>
      <c r="M26" s="160">
        <f t="shared" si="6"/>
        <v>0</v>
      </c>
      <c r="N26" s="160">
        <f t="shared" si="7"/>
        <v>0</v>
      </c>
      <c r="O26" s="160">
        <f t="shared" si="8"/>
        <v>0</v>
      </c>
      <c r="P26" s="160">
        <f t="shared" si="9"/>
        <v>0</v>
      </c>
    </row>
    <row r="27" spans="2:16" x14ac:dyDescent="0.4">
      <c r="B27" s="16" t="s">
        <v>85</v>
      </c>
      <c r="C27" s="157">
        <f>計算シート!Y27</f>
        <v>0</v>
      </c>
      <c r="D27" s="158" t="str">
        <f>IF(計算シート!J27="65歳から74歳まで","65歳以上",IF(計算シート!J27="75歳以上","65歳以上","64歳以下"))</f>
        <v>64歳以下</v>
      </c>
      <c r="E27" s="159">
        <f t="shared" si="10"/>
        <v>0</v>
      </c>
      <c r="F27" s="159">
        <f t="shared" si="0"/>
        <v>0</v>
      </c>
      <c r="G27" s="160">
        <f t="shared" si="11"/>
        <v>0</v>
      </c>
      <c r="H27" s="160">
        <f t="shared" si="1"/>
        <v>0</v>
      </c>
      <c r="I27" s="160">
        <f t="shared" si="2"/>
        <v>0</v>
      </c>
      <c r="J27" s="160">
        <f t="shared" si="3"/>
        <v>0</v>
      </c>
      <c r="K27" s="160">
        <f t="shared" si="4"/>
        <v>0</v>
      </c>
      <c r="L27" s="160">
        <f t="shared" si="5"/>
        <v>0</v>
      </c>
      <c r="M27" s="160">
        <f t="shared" si="6"/>
        <v>0</v>
      </c>
      <c r="N27" s="160">
        <f t="shared" si="7"/>
        <v>0</v>
      </c>
      <c r="O27" s="160">
        <f t="shared" si="8"/>
        <v>0</v>
      </c>
      <c r="P27" s="160">
        <f t="shared" si="9"/>
        <v>0</v>
      </c>
    </row>
    <row r="28" spans="2:16" x14ac:dyDescent="0.4">
      <c r="D28" s="1"/>
      <c r="E28" s="1"/>
      <c r="F28" s="1"/>
    </row>
    <row r="29" spans="2:16" x14ac:dyDescent="0.4">
      <c r="D29" s="1"/>
      <c r="E29" s="1"/>
    </row>
    <row r="30" spans="2:16" x14ac:dyDescent="0.4">
      <c r="D30" s="1"/>
      <c r="E30" s="1"/>
    </row>
    <row r="33" spans="2:3" x14ac:dyDescent="0.4">
      <c r="B33" s="11"/>
      <c r="C33" s="20"/>
    </row>
  </sheetData>
  <sheetProtection password="9620" sheet="1" objects="1" scenarios="1" selectLockedCells="1"/>
  <mergeCells count="21">
    <mergeCell ref="C7:E7"/>
    <mergeCell ref="F7:H7"/>
    <mergeCell ref="F8:H8"/>
    <mergeCell ref="F9:H9"/>
    <mergeCell ref="F10:H10"/>
    <mergeCell ref="B8:B12"/>
    <mergeCell ref="B13:B17"/>
    <mergeCell ref="F11:H11"/>
    <mergeCell ref="F12:H12"/>
    <mergeCell ref="F13:H13"/>
    <mergeCell ref="F14:H14"/>
    <mergeCell ref="F15:H15"/>
    <mergeCell ref="F16:H16"/>
    <mergeCell ref="F17:H17"/>
    <mergeCell ref="B20:B21"/>
    <mergeCell ref="G20:K20"/>
    <mergeCell ref="L20:P20"/>
    <mergeCell ref="C20:C21"/>
    <mergeCell ref="D20:D21"/>
    <mergeCell ref="E20:E21"/>
    <mergeCell ref="F20:F21"/>
  </mergeCells>
  <phoneticPr fontId="3"/>
  <pageMargins left="0.51181102362204722" right="0.31496062992125984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C303"/>
  <sheetViews>
    <sheetView workbookViewId="0">
      <selection activeCell="P15" sqref="P15:P17"/>
    </sheetView>
  </sheetViews>
  <sheetFormatPr defaultRowHeight="18.75" x14ac:dyDescent="0.4"/>
  <cols>
    <col min="3" max="3" width="10" style="15" bestFit="1" customWidth="1"/>
  </cols>
  <sheetData>
    <row r="3" spans="3:3" x14ac:dyDescent="0.4">
      <c r="C3" s="15">
        <v>0</v>
      </c>
    </row>
    <row r="4" spans="3:3" x14ac:dyDescent="0.4">
      <c r="C4" s="15">
        <v>50000</v>
      </c>
    </row>
    <row r="5" spans="3:3" x14ac:dyDescent="0.4">
      <c r="C5" s="15">
        <v>100000</v>
      </c>
    </row>
    <row r="6" spans="3:3" x14ac:dyDescent="0.4">
      <c r="C6" s="15">
        <v>150000</v>
      </c>
    </row>
    <row r="7" spans="3:3" x14ac:dyDescent="0.4">
      <c r="C7" s="15">
        <v>200000</v>
      </c>
    </row>
    <row r="8" spans="3:3" x14ac:dyDescent="0.4">
      <c r="C8" s="15">
        <v>250000</v>
      </c>
    </row>
    <row r="9" spans="3:3" x14ac:dyDescent="0.4">
      <c r="C9" s="15">
        <v>300000</v>
      </c>
    </row>
    <row r="10" spans="3:3" x14ac:dyDescent="0.4">
      <c r="C10" s="15">
        <v>350000</v>
      </c>
    </row>
    <row r="11" spans="3:3" x14ac:dyDescent="0.4">
      <c r="C11" s="15">
        <v>400000</v>
      </c>
    </row>
    <row r="12" spans="3:3" x14ac:dyDescent="0.4">
      <c r="C12" s="15">
        <v>450000</v>
      </c>
    </row>
    <row r="13" spans="3:3" x14ac:dyDescent="0.4">
      <c r="C13" s="15">
        <v>500000</v>
      </c>
    </row>
    <row r="14" spans="3:3" x14ac:dyDescent="0.4">
      <c r="C14" s="15">
        <v>550000</v>
      </c>
    </row>
    <row r="15" spans="3:3" x14ac:dyDescent="0.4">
      <c r="C15" s="15">
        <v>600000</v>
      </c>
    </row>
    <row r="16" spans="3:3" x14ac:dyDescent="0.4">
      <c r="C16" s="15">
        <v>650000</v>
      </c>
    </row>
    <row r="17" spans="3:3" x14ac:dyDescent="0.4">
      <c r="C17" s="15">
        <v>700000</v>
      </c>
    </row>
    <row r="18" spans="3:3" x14ac:dyDescent="0.4">
      <c r="C18" s="15">
        <v>750000</v>
      </c>
    </row>
    <row r="19" spans="3:3" x14ac:dyDescent="0.4">
      <c r="C19" s="15">
        <v>800000</v>
      </c>
    </row>
    <row r="20" spans="3:3" x14ac:dyDescent="0.4">
      <c r="C20" s="15">
        <v>850000</v>
      </c>
    </row>
    <row r="21" spans="3:3" x14ac:dyDescent="0.4">
      <c r="C21" s="15">
        <v>900000</v>
      </c>
    </row>
    <row r="22" spans="3:3" x14ac:dyDescent="0.4">
      <c r="C22" s="15">
        <v>950000</v>
      </c>
    </row>
    <row r="23" spans="3:3" x14ac:dyDescent="0.4">
      <c r="C23" s="15">
        <v>1000000</v>
      </c>
    </row>
    <row r="24" spans="3:3" x14ac:dyDescent="0.4">
      <c r="C24" s="15">
        <v>1050000</v>
      </c>
    </row>
    <row r="25" spans="3:3" x14ac:dyDescent="0.4">
      <c r="C25" s="15">
        <v>1100000</v>
      </c>
    </row>
    <row r="26" spans="3:3" x14ac:dyDescent="0.4">
      <c r="C26" s="15">
        <v>1150000</v>
      </c>
    </row>
    <row r="27" spans="3:3" x14ac:dyDescent="0.4">
      <c r="C27" s="15">
        <v>1200000</v>
      </c>
    </row>
    <row r="28" spans="3:3" x14ac:dyDescent="0.4">
      <c r="C28" s="15">
        <v>1250000</v>
      </c>
    </row>
    <row r="29" spans="3:3" x14ac:dyDescent="0.4">
      <c r="C29" s="15">
        <v>1300000</v>
      </c>
    </row>
    <row r="30" spans="3:3" x14ac:dyDescent="0.4">
      <c r="C30" s="15">
        <v>1350000</v>
      </c>
    </row>
    <row r="31" spans="3:3" x14ac:dyDescent="0.4">
      <c r="C31" s="15">
        <v>1400000</v>
      </c>
    </row>
    <row r="32" spans="3:3" x14ac:dyDescent="0.4">
      <c r="C32" s="15">
        <v>1450000</v>
      </c>
    </row>
    <row r="33" spans="3:3" x14ac:dyDescent="0.4">
      <c r="C33" s="15">
        <v>1500000</v>
      </c>
    </row>
    <row r="34" spans="3:3" x14ac:dyDescent="0.4">
      <c r="C34" s="15">
        <v>1550000</v>
      </c>
    </row>
    <row r="35" spans="3:3" x14ac:dyDescent="0.4">
      <c r="C35" s="15">
        <v>1600000</v>
      </c>
    </row>
    <row r="36" spans="3:3" x14ac:dyDescent="0.4">
      <c r="C36" s="15">
        <v>1650000</v>
      </c>
    </row>
    <row r="37" spans="3:3" x14ac:dyDescent="0.4">
      <c r="C37" s="15">
        <v>1700000</v>
      </c>
    </row>
    <row r="38" spans="3:3" x14ac:dyDescent="0.4">
      <c r="C38" s="15">
        <v>1750000</v>
      </c>
    </row>
    <row r="39" spans="3:3" x14ac:dyDescent="0.4">
      <c r="C39" s="15">
        <v>1800000</v>
      </c>
    </row>
    <row r="40" spans="3:3" x14ac:dyDescent="0.4">
      <c r="C40" s="15">
        <v>1850000</v>
      </c>
    </row>
    <row r="41" spans="3:3" x14ac:dyDescent="0.4">
      <c r="C41" s="15">
        <v>1900000</v>
      </c>
    </row>
    <row r="42" spans="3:3" x14ac:dyDescent="0.4">
      <c r="C42" s="15">
        <v>1950000</v>
      </c>
    </row>
    <row r="43" spans="3:3" x14ac:dyDescent="0.4">
      <c r="C43" s="15">
        <v>2000000</v>
      </c>
    </row>
    <row r="44" spans="3:3" x14ac:dyDescent="0.4">
      <c r="C44" s="15">
        <v>2050000</v>
      </c>
    </row>
    <row r="45" spans="3:3" x14ac:dyDescent="0.4">
      <c r="C45" s="15">
        <v>2100000</v>
      </c>
    </row>
    <row r="46" spans="3:3" x14ac:dyDescent="0.4">
      <c r="C46" s="15">
        <v>2150000</v>
      </c>
    </row>
    <row r="47" spans="3:3" x14ac:dyDescent="0.4">
      <c r="C47" s="15">
        <v>2200000</v>
      </c>
    </row>
    <row r="48" spans="3:3" x14ac:dyDescent="0.4">
      <c r="C48" s="15">
        <v>2250000</v>
      </c>
    </row>
    <row r="49" spans="3:3" x14ac:dyDescent="0.4">
      <c r="C49" s="15">
        <v>2300000</v>
      </c>
    </row>
    <row r="50" spans="3:3" x14ac:dyDescent="0.4">
      <c r="C50" s="15">
        <v>2350000</v>
      </c>
    </row>
    <row r="51" spans="3:3" x14ac:dyDescent="0.4">
      <c r="C51" s="15">
        <v>2400000</v>
      </c>
    </row>
    <row r="52" spans="3:3" x14ac:dyDescent="0.4">
      <c r="C52" s="15">
        <v>2450000</v>
      </c>
    </row>
    <row r="53" spans="3:3" x14ac:dyDescent="0.4">
      <c r="C53" s="15">
        <v>2500000</v>
      </c>
    </row>
    <row r="54" spans="3:3" x14ac:dyDescent="0.4">
      <c r="C54" s="15">
        <v>2550000</v>
      </c>
    </row>
    <row r="55" spans="3:3" x14ac:dyDescent="0.4">
      <c r="C55" s="15">
        <v>2600000</v>
      </c>
    </row>
    <row r="56" spans="3:3" x14ac:dyDescent="0.4">
      <c r="C56" s="15">
        <v>2650000</v>
      </c>
    </row>
    <row r="57" spans="3:3" x14ac:dyDescent="0.4">
      <c r="C57" s="15">
        <v>2700000</v>
      </c>
    </row>
    <row r="58" spans="3:3" x14ac:dyDescent="0.4">
      <c r="C58" s="15">
        <v>2750000</v>
      </c>
    </row>
    <row r="59" spans="3:3" x14ac:dyDescent="0.4">
      <c r="C59" s="15">
        <v>2800000</v>
      </c>
    </row>
    <row r="60" spans="3:3" x14ac:dyDescent="0.4">
      <c r="C60" s="15">
        <v>2850000</v>
      </c>
    </row>
    <row r="61" spans="3:3" x14ac:dyDescent="0.4">
      <c r="C61" s="15">
        <v>2900000</v>
      </c>
    </row>
    <row r="62" spans="3:3" x14ac:dyDescent="0.4">
      <c r="C62" s="15">
        <v>2950000</v>
      </c>
    </row>
    <row r="63" spans="3:3" x14ac:dyDescent="0.4">
      <c r="C63" s="15">
        <v>3000000</v>
      </c>
    </row>
    <row r="64" spans="3:3" x14ac:dyDescent="0.4">
      <c r="C64" s="15">
        <v>3050000</v>
      </c>
    </row>
    <row r="65" spans="3:3" x14ac:dyDescent="0.4">
      <c r="C65" s="15">
        <v>3100000</v>
      </c>
    </row>
    <row r="66" spans="3:3" x14ac:dyDescent="0.4">
      <c r="C66" s="15">
        <v>3150000</v>
      </c>
    </row>
    <row r="67" spans="3:3" x14ac:dyDescent="0.4">
      <c r="C67" s="15">
        <v>3200000</v>
      </c>
    </row>
    <row r="68" spans="3:3" x14ac:dyDescent="0.4">
      <c r="C68" s="15">
        <v>3250000</v>
      </c>
    </row>
    <row r="69" spans="3:3" x14ac:dyDescent="0.4">
      <c r="C69" s="15">
        <v>3300000</v>
      </c>
    </row>
    <row r="70" spans="3:3" x14ac:dyDescent="0.4">
      <c r="C70" s="15">
        <v>3350000</v>
      </c>
    </row>
    <row r="71" spans="3:3" x14ac:dyDescent="0.4">
      <c r="C71" s="15">
        <v>3400000</v>
      </c>
    </row>
    <row r="72" spans="3:3" x14ac:dyDescent="0.4">
      <c r="C72" s="15">
        <v>3450000</v>
      </c>
    </row>
    <row r="73" spans="3:3" x14ac:dyDescent="0.4">
      <c r="C73" s="15">
        <v>3500000</v>
      </c>
    </row>
    <row r="74" spans="3:3" x14ac:dyDescent="0.4">
      <c r="C74" s="15">
        <v>3550000</v>
      </c>
    </row>
    <row r="75" spans="3:3" x14ac:dyDescent="0.4">
      <c r="C75" s="15">
        <v>3600000</v>
      </c>
    </row>
    <row r="76" spans="3:3" x14ac:dyDescent="0.4">
      <c r="C76" s="15">
        <v>3650000</v>
      </c>
    </row>
    <row r="77" spans="3:3" x14ac:dyDescent="0.4">
      <c r="C77" s="15">
        <v>3700000</v>
      </c>
    </row>
    <row r="78" spans="3:3" x14ac:dyDescent="0.4">
      <c r="C78" s="15">
        <v>3750000</v>
      </c>
    </row>
    <row r="79" spans="3:3" x14ac:dyDescent="0.4">
      <c r="C79" s="15">
        <v>3800000</v>
      </c>
    </row>
    <row r="80" spans="3:3" x14ac:dyDescent="0.4">
      <c r="C80" s="15">
        <v>3850000</v>
      </c>
    </row>
    <row r="81" spans="3:3" x14ac:dyDescent="0.4">
      <c r="C81" s="15">
        <v>3900000</v>
      </c>
    </row>
    <row r="82" spans="3:3" x14ac:dyDescent="0.4">
      <c r="C82" s="15">
        <v>3950000</v>
      </c>
    </row>
    <row r="83" spans="3:3" x14ac:dyDescent="0.4">
      <c r="C83" s="15">
        <v>4000000</v>
      </c>
    </row>
    <row r="84" spans="3:3" x14ac:dyDescent="0.4">
      <c r="C84" s="15">
        <v>4050000</v>
      </c>
    </row>
    <row r="85" spans="3:3" x14ac:dyDescent="0.4">
      <c r="C85" s="15">
        <v>4100000</v>
      </c>
    </row>
    <row r="86" spans="3:3" x14ac:dyDescent="0.4">
      <c r="C86" s="15">
        <v>4150000</v>
      </c>
    </row>
    <row r="87" spans="3:3" x14ac:dyDescent="0.4">
      <c r="C87" s="15">
        <v>4200000</v>
      </c>
    </row>
    <row r="88" spans="3:3" x14ac:dyDescent="0.4">
      <c r="C88" s="15">
        <v>4250000</v>
      </c>
    </row>
    <row r="89" spans="3:3" x14ac:dyDescent="0.4">
      <c r="C89" s="15">
        <v>4300000</v>
      </c>
    </row>
    <row r="90" spans="3:3" x14ac:dyDescent="0.4">
      <c r="C90" s="15">
        <v>4350000</v>
      </c>
    </row>
    <row r="91" spans="3:3" x14ac:dyDescent="0.4">
      <c r="C91" s="15">
        <v>4400000</v>
      </c>
    </row>
    <row r="92" spans="3:3" x14ac:dyDescent="0.4">
      <c r="C92" s="15">
        <v>4450000</v>
      </c>
    </row>
    <row r="93" spans="3:3" x14ac:dyDescent="0.4">
      <c r="C93" s="15">
        <v>4500000</v>
      </c>
    </row>
    <row r="94" spans="3:3" x14ac:dyDescent="0.4">
      <c r="C94" s="15">
        <v>4550000</v>
      </c>
    </row>
    <row r="95" spans="3:3" x14ac:dyDescent="0.4">
      <c r="C95" s="15">
        <v>4600000</v>
      </c>
    </row>
    <row r="96" spans="3:3" x14ac:dyDescent="0.4">
      <c r="C96" s="15">
        <v>4650000</v>
      </c>
    </row>
    <row r="97" spans="3:3" x14ac:dyDescent="0.4">
      <c r="C97" s="15">
        <v>4700000</v>
      </c>
    </row>
    <row r="98" spans="3:3" x14ac:dyDescent="0.4">
      <c r="C98" s="15">
        <v>4750000</v>
      </c>
    </row>
    <row r="99" spans="3:3" x14ac:dyDescent="0.4">
      <c r="C99" s="15">
        <v>4800000</v>
      </c>
    </row>
    <row r="100" spans="3:3" x14ac:dyDescent="0.4">
      <c r="C100" s="15">
        <v>4850000</v>
      </c>
    </row>
    <row r="101" spans="3:3" x14ac:dyDescent="0.4">
      <c r="C101" s="15">
        <v>4900000</v>
      </c>
    </row>
    <row r="102" spans="3:3" x14ac:dyDescent="0.4">
      <c r="C102" s="15">
        <v>4950000</v>
      </c>
    </row>
    <row r="103" spans="3:3" x14ac:dyDescent="0.4">
      <c r="C103" s="15">
        <v>5000000</v>
      </c>
    </row>
    <row r="104" spans="3:3" x14ac:dyDescent="0.4">
      <c r="C104" s="15">
        <v>5050000</v>
      </c>
    </row>
    <row r="105" spans="3:3" x14ac:dyDescent="0.4">
      <c r="C105" s="15">
        <v>5100000</v>
      </c>
    </row>
    <row r="106" spans="3:3" x14ac:dyDescent="0.4">
      <c r="C106" s="15">
        <v>5150000</v>
      </c>
    </row>
    <row r="107" spans="3:3" x14ac:dyDescent="0.4">
      <c r="C107" s="15">
        <v>5200000</v>
      </c>
    </row>
    <row r="108" spans="3:3" x14ac:dyDescent="0.4">
      <c r="C108" s="15">
        <v>5250000</v>
      </c>
    </row>
    <row r="109" spans="3:3" x14ac:dyDescent="0.4">
      <c r="C109" s="15">
        <v>5300000</v>
      </c>
    </row>
    <row r="110" spans="3:3" x14ac:dyDescent="0.4">
      <c r="C110" s="15">
        <v>5350000</v>
      </c>
    </row>
    <row r="111" spans="3:3" x14ac:dyDescent="0.4">
      <c r="C111" s="15">
        <v>5400000</v>
      </c>
    </row>
    <row r="112" spans="3:3" x14ac:dyDescent="0.4">
      <c r="C112" s="15">
        <v>5450000</v>
      </c>
    </row>
    <row r="113" spans="3:3" x14ac:dyDescent="0.4">
      <c r="C113" s="15">
        <v>5500000</v>
      </c>
    </row>
    <row r="114" spans="3:3" x14ac:dyDescent="0.4">
      <c r="C114" s="15">
        <v>5550000</v>
      </c>
    </row>
    <row r="115" spans="3:3" x14ac:dyDescent="0.4">
      <c r="C115" s="15">
        <v>5600000</v>
      </c>
    </row>
    <row r="116" spans="3:3" x14ac:dyDescent="0.4">
      <c r="C116" s="15">
        <v>5650000</v>
      </c>
    </row>
    <row r="117" spans="3:3" x14ac:dyDescent="0.4">
      <c r="C117" s="15">
        <v>5700000</v>
      </c>
    </row>
    <row r="118" spans="3:3" x14ac:dyDescent="0.4">
      <c r="C118" s="15">
        <v>5750000</v>
      </c>
    </row>
    <row r="119" spans="3:3" x14ac:dyDescent="0.4">
      <c r="C119" s="15">
        <v>5800000</v>
      </c>
    </row>
    <row r="120" spans="3:3" x14ac:dyDescent="0.4">
      <c r="C120" s="15">
        <v>5850000</v>
      </c>
    </row>
    <row r="121" spans="3:3" x14ac:dyDescent="0.4">
      <c r="C121" s="15">
        <v>5900000</v>
      </c>
    </row>
    <row r="122" spans="3:3" x14ac:dyDescent="0.4">
      <c r="C122" s="15">
        <v>5950000</v>
      </c>
    </row>
    <row r="123" spans="3:3" x14ac:dyDescent="0.4">
      <c r="C123" s="15">
        <v>6000000</v>
      </c>
    </row>
    <row r="124" spans="3:3" x14ac:dyDescent="0.4">
      <c r="C124" s="15">
        <v>6050000</v>
      </c>
    </row>
    <row r="125" spans="3:3" x14ac:dyDescent="0.4">
      <c r="C125" s="15">
        <v>6100000</v>
      </c>
    </row>
    <row r="126" spans="3:3" x14ac:dyDescent="0.4">
      <c r="C126" s="15">
        <v>6150000</v>
      </c>
    </row>
    <row r="127" spans="3:3" x14ac:dyDescent="0.4">
      <c r="C127" s="15">
        <v>6200000</v>
      </c>
    </row>
    <row r="128" spans="3:3" x14ac:dyDescent="0.4">
      <c r="C128" s="15">
        <v>6250000</v>
      </c>
    </row>
    <row r="129" spans="3:3" x14ac:dyDescent="0.4">
      <c r="C129" s="15">
        <v>6300000</v>
      </c>
    </row>
    <row r="130" spans="3:3" x14ac:dyDescent="0.4">
      <c r="C130" s="15">
        <v>6350000</v>
      </c>
    </row>
    <row r="131" spans="3:3" x14ac:dyDescent="0.4">
      <c r="C131" s="15">
        <v>6400000</v>
      </c>
    </row>
    <row r="132" spans="3:3" x14ac:dyDescent="0.4">
      <c r="C132" s="15">
        <v>6450000</v>
      </c>
    </row>
    <row r="133" spans="3:3" x14ac:dyDescent="0.4">
      <c r="C133" s="15">
        <v>6500000</v>
      </c>
    </row>
    <row r="134" spans="3:3" x14ac:dyDescent="0.4">
      <c r="C134" s="15">
        <v>6550000</v>
      </c>
    </row>
    <row r="135" spans="3:3" x14ac:dyDescent="0.4">
      <c r="C135" s="15">
        <v>6600000</v>
      </c>
    </row>
    <row r="136" spans="3:3" x14ac:dyDescent="0.4">
      <c r="C136" s="15">
        <v>6650000</v>
      </c>
    </row>
    <row r="137" spans="3:3" x14ac:dyDescent="0.4">
      <c r="C137" s="15">
        <v>6700000</v>
      </c>
    </row>
    <row r="138" spans="3:3" x14ac:dyDescent="0.4">
      <c r="C138" s="15">
        <v>6750000</v>
      </c>
    </row>
    <row r="139" spans="3:3" x14ac:dyDescent="0.4">
      <c r="C139" s="15">
        <v>6800000</v>
      </c>
    </row>
    <row r="140" spans="3:3" x14ac:dyDescent="0.4">
      <c r="C140" s="15">
        <v>6850000</v>
      </c>
    </row>
    <row r="141" spans="3:3" x14ac:dyDescent="0.4">
      <c r="C141" s="15">
        <v>6900000</v>
      </c>
    </row>
    <row r="142" spans="3:3" x14ac:dyDescent="0.4">
      <c r="C142" s="15">
        <v>6950000</v>
      </c>
    </row>
    <row r="143" spans="3:3" x14ac:dyDescent="0.4">
      <c r="C143" s="15">
        <v>7000000</v>
      </c>
    </row>
    <row r="144" spans="3:3" x14ac:dyDescent="0.4">
      <c r="C144" s="15">
        <v>7050000</v>
      </c>
    </row>
    <row r="145" spans="3:3" x14ac:dyDescent="0.4">
      <c r="C145" s="15">
        <v>7100000</v>
      </c>
    </row>
    <row r="146" spans="3:3" x14ac:dyDescent="0.4">
      <c r="C146" s="15">
        <v>7150000</v>
      </c>
    </row>
    <row r="147" spans="3:3" x14ac:dyDescent="0.4">
      <c r="C147" s="15">
        <v>7200000</v>
      </c>
    </row>
    <row r="148" spans="3:3" x14ac:dyDescent="0.4">
      <c r="C148" s="15">
        <v>7250000</v>
      </c>
    </row>
    <row r="149" spans="3:3" x14ac:dyDescent="0.4">
      <c r="C149" s="15">
        <v>7300000</v>
      </c>
    </row>
    <row r="150" spans="3:3" x14ac:dyDescent="0.4">
      <c r="C150" s="15">
        <v>7350000</v>
      </c>
    </row>
    <row r="151" spans="3:3" x14ac:dyDescent="0.4">
      <c r="C151" s="15">
        <v>7400000</v>
      </c>
    </row>
    <row r="152" spans="3:3" x14ac:dyDescent="0.4">
      <c r="C152" s="15">
        <v>7450000</v>
      </c>
    </row>
    <row r="153" spans="3:3" x14ac:dyDescent="0.4">
      <c r="C153" s="15">
        <v>7500000</v>
      </c>
    </row>
    <row r="154" spans="3:3" x14ac:dyDescent="0.4">
      <c r="C154" s="15">
        <v>7550000</v>
      </c>
    </row>
    <row r="155" spans="3:3" x14ac:dyDescent="0.4">
      <c r="C155" s="15">
        <v>7600000</v>
      </c>
    </row>
    <row r="156" spans="3:3" x14ac:dyDescent="0.4">
      <c r="C156" s="15">
        <v>7650000</v>
      </c>
    </row>
    <row r="157" spans="3:3" x14ac:dyDescent="0.4">
      <c r="C157" s="15">
        <v>7700000</v>
      </c>
    </row>
    <row r="158" spans="3:3" x14ac:dyDescent="0.4">
      <c r="C158" s="15">
        <v>7750000</v>
      </c>
    </row>
    <row r="159" spans="3:3" x14ac:dyDescent="0.4">
      <c r="C159" s="15">
        <v>7800000</v>
      </c>
    </row>
    <row r="160" spans="3:3" x14ac:dyDescent="0.4">
      <c r="C160" s="15">
        <v>7850000</v>
      </c>
    </row>
    <row r="161" spans="3:3" x14ac:dyDescent="0.4">
      <c r="C161" s="15">
        <v>7900000</v>
      </c>
    </row>
    <row r="162" spans="3:3" x14ac:dyDescent="0.4">
      <c r="C162" s="15">
        <v>7950000</v>
      </c>
    </row>
    <row r="163" spans="3:3" x14ac:dyDescent="0.4">
      <c r="C163" s="15">
        <v>8000000</v>
      </c>
    </row>
    <row r="164" spans="3:3" x14ac:dyDescent="0.4">
      <c r="C164" s="15">
        <v>8050000</v>
      </c>
    </row>
    <row r="165" spans="3:3" x14ac:dyDescent="0.4">
      <c r="C165" s="15">
        <v>8100000</v>
      </c>
    </row>
    <row r="166" spans="3:3" x14ac:dyDescent="0.4">
      <c r="C166" s="15">
        <v>8150000</v>
      </c>
    </row>
    <row r="167" spans="3:3" x14ac:dyDescent="0.4">
      <c r="C167" s="15">
        <v>8200000</v>
      </c>
    </row>
    <row r="168" spans="3:3" x14ac:dyDescent="0.4">
      <c r="C168" s="15">
        <v>8250000</v>
      </c>
    </row>
    <row r="169" spans="3:3" x14ac:dyDescent="0.4">
      <c r="C169" s="15">
        <v>8300000</v>
      </c>
    </row>
    <row r="170" spans="3:3" x14ac:dyDescent="0.4">
      <c r="C170" s="15">
        <v>8350000</v>
      </c>
    </row>
    <row r="171" spans="3:3" x14ac:dyDescent="0.4">
      <c r="C171" s="15">
        <v>8400000</v>
      </c>
    </row>
    <row r="172" spans="3:3" x14ac:dyDescent="0.4">
      <c r="C172" s="15">
        <v>8450000</v>
      </c>
    </row>
    <row r="173" spans="3:3" x14ac:dyDescent="0.4">
      <c r="C173" s="15">
        <v>8500000</v>
      </c>
    </row>
    <row r="174" spans="3:3" x14ac:dyDescent="0.4">
      <c r="C174" s="15">
        <v>8550000</v>
      </c>
    </row>
    <row r="175" spans="3:3" x14ac:dyDescent="0.4">
      <c r="C175" s="15">
        <v>8600000</v>
      </c>
    </row>
    <row r="176" spans="3:3" x14ac:dyDescent="0.4">
      <c r="C176" s="15">
        <v>8650000</v>
      </c>
    </row>
    <row r="177" spans="3:3" x14ac:dyDescent="0.4">
      <c r="C177" s="15">
        <v>8700000</v>
      </c>
    </row>
    <row r="178" spans="3:3" x14ac:dyDescent="0.4">
      <c r="C178" s="15">
        <v>8750000</v>
      </c>
    </row>
    <row r="179" spans="3:3" x14ac:dyDescent="0.4">
      <c r="C179" s="15">
        <v>8800000</v>
      </c>
    </row>
    <row r="180" spans="3:3" x14ac:dyDescent="0.4">
      <c r="C180" s="15">
        <v>8850000</v>
      </c>
    </row>
    <row r="181" spans="3:3" x14ac:dyDescent="0.4">
      <c r="C181" s="15">
        <v>8900000</v>
      </c>
    </row>
    <row r="182" spans="3:3" x14ac:dyDescent="0.4">
      <c r="C182" s="15">
        <v>8950000</v>
      </c>
    </row>
    <row r="183" spans="3:3" x14ac:dyDescent="0.4">
      <c r="C183" s="15">
        <v>9000000</v>
      </c>
    </row>
    <row r="184" spans="3:3" x14ac:dyDescent="0.4">
      <c r="C184" s="15">
        <v>9050000</v>
      </c>
    </row>
    <row r="185" spans="3:3" x14ac:dyDescent="0.4">
      <c r="C185" s="15">
        <v>9100000</v>
      </c>
    </row>
    <row r="186" spans="3:3" x14ac:dyDescent="0.4">
      <c r="C186" s="15">
        <v>9150000</v>
      </c>
    </row>
    <row r="187" spans="3:3" x14ac:dyDescent="0.4">
      <c r="C187" s="15">
        <v>9200000</v>
      </c>
    </row>
    <row r="188" spans="3:3" x14ac:dyDescent="0.4">
      <c r="C188" s="15">
        <v>9250000</v>
      </c>
    </row>
    <row r="189" spans="3:3" x14ac:dyDescent="0.4">
      <c r="C189" s="15">
        <v>9300000</v>
      </c>
    </row>
    <row r="190" spans="3:3" x14ac:dyDescent="0.4">
      <c r="C190" s="15">
        <v>9350000</v>
      </c>
    </row>
    <row r="191" spans="3:3" x14ac:dyDescent="0.4">
      <c r="C191" s="15">
        <v>9400000</v>
      </c>
    </row>
    <row r="192" spans="3:3" x14ac:dyDescent="0.4">
      <c r="C192" s="15">
        <v>9450000</v>
      </c>
    </row>
    <row r="193" spans="3:3" x14ac:dyDescent="0.4">
      <c r="C193" s="15">
        <v>9500000</v>
      </c>
    </row>
    <row r="194" spans="3:3" x14ac:dyDescent="0.4">
      <c r="C194" s="15">
        <v>9550000</v>
      </c>
    </row>
    <row r="195" spans="3:3" x14ac:dyDescent="0.4">
      <c r="C195" s="15">
        <v>9600000</v>
      </c>
    </row>
    <row r="196" spans="3:3" x14ac:dyDescent="0.4">
      <c r="C196" s="15">
        <v>9650000</v>
      </c>
    </row>
    <row r="197" spans="3:3" x14ac:dyDescent="0.4">
      <c r="C197" s="15">
        <v>9700000</v>
      </c>
    </row>
    <row r="198" spans="3:3" x14ac:dyDescent="0.4">
      <c r="C198" s="15">
        <v>9750000</v>
      </c>
    </row>
    <row r="199" spans="3:3" x14ac:dyDescent="0.4">
      <c r="C199" s="15">
        <v>9800000</v>
      </c>
    </row>
    <row r="200" spans="3:3" x14ac:dyDescent="0.4">
      <c r="C200" s="15">
        <v>9850000</v>
      </c>
    </row>
    <row r="201" spans="3:3" x14ac:dyDescent="0.4">
      <c r="C201" s="15">
        <v>9900000</v>
      </c>
    </row>
    <row r="202" spans="3:3" x14ac:dyDescent="0.4">
      <c r="C202" s="15">
        <v>9950000</v>
      </c>
    </row>
    <row r="203" spans="3:3" x14ac:dyDescent="0.4">
      <c r="C203" s="15">
        <v>10000000</v>
      </c>
    </row>
    <row r="204" spans="3:3" x14ac:dyDescent="0.4">
      <c r="C204" s="15">
        <v>10050000</v>
      </c>
    </row>
    <row r="205" spans="3:3" x14ac:dyDescent="0.4">
      <c r="C205" s="15">
        <v>10100000</v>
      </c>
    </row>
    <row r="206" spans="3:3" x14ac:dyDescent="0.4">
      <c r="C206" s="15">
        <v>10150000</v>
      </c>
    </row>
    <row r="207" spans="3:3" x14ac:dyDescent="0.4">
      <c r="C207" s="15">
        <v>10200000</v>
      </c>
    </row>
    <row r="208" spans="3:3" x14ac:dyDescent="0.4">
      <c r="C208" s="15">
        <v>10250000</v>
      </c>
    </row>
    <row r="209" spans="3:3" x14ac:dyDescent="0.4">
      <c r="C209" s="15">
        <v>10300000</v>
      </c>
    </row>
    <row r="210" spans="3:3" x14ac:dyDescent="0.4">
      <c r="C210" s="15">
        <v>10350000</v>
      </c>
    </row>
    <row r="211" spans="3:3" x14ac:dyDescent="0.4">
      <c r="C211" s="15">
        <v>10400000</v>
      </c>
    </row>
    <row r="212" spans="3:3" x14ac:dyDescent="0.4">
      <c r="C212" s="15">
        <v>10450000</v>
      </c>
    </row>
    <row r="213" spans="3:3" x14ac:dyDescent="0.4">
      <c r="C213" s="15">
        <v>10500000</v>
      </c>
    </row>
    <row r="214" spans="3:3" x14ac:dyDescent="0.4">
      <c r="C214" s="15">
        <v>10550000</v>
      </c>
    </row>
    <row r="215" spans="3:3" x14ac:dyDescent="0.4">
      <c r="C215" s="15">
        <v>10600000</v>
      </c>
    </row>
    <row r="216" spans="3:3" x14ac:dyDescent="0.4">
      <c r="C216" s="15">
        <v>10650000</v>
      </c>
    </row>
    <row r="217" spans="3:3" x14ac:dyDescent="0.4">
      <c r="C217" s="15">
        <v>10700000</v>
      </c>
    </row>
    <row r="218" spans="3:3" x14ac:dyDescent="0.4">
      <c r="C218" s="15">
        <v>10750000</v>
      </c>
    </row>
    <row r="219" spans="3:3" x14ac:dyDescent="0.4">
      <c r="C219" s="15">
        <v>10800000</v>
      </c>
    </row>
    <row r="220" spans="3:3" x14ac:dyDescent="0.4">
      <c r="C220" s="15">
        <v>10850000</v>
      </c>
    </row>
    <row r="221" spans="3:3" x14ac:dyDescent="0.4">
      <c r="C221" s="15">
        <v>10900000</v>
      </c>
    </row>
    <row r="222" spans="3:3" x14ac:dyDescent="0.4">
      <c r="C222" s="15">
        <v>10950000</v>
      </c>
    </row>
    <row r="223" spans="3:3" x14ac:dyDescent="0.4">
      <c r="C223" s="15">
        <v>11000000</v>
      </c>
    </row>
    <row r="224" spans="3:3" x14ac:dyDescent="0.4">
      <c r="C224" s="15">
        <v>11050000</v>
      </c>
    </row>
    <row r="225" spans="3:3" x14ac:dyDescent="0.4">
      <c r="C225" s="15">
        <v>11100000</v>
      </c>
    </row>
    <row r="226" spans="3:3" x14ac:dyDescent="0.4">
      <c r="C226" s="15">
        <v>11150000</v>
      </c>
    </row>
    <row r="227" spans="3:3" x14ac:dyDescent="0.4">
      <c r="C227" s="15">
        <v>11200000</v>
      </c>
    </row>
    <row r="228" spans="3:3" x14ac:dyDescent="0.4">
      <c r="C228" s="15">
        <v>11250000</v>
      </c>
    </row>
    <row r="229" spans="3:3" x14ac:dyDescent="0.4">
      <c r="C229" s="15">
        <v>11300000</v>
      </c>
    </row>
    <row r="230" spans="3:3" x14ac:dyDescent="0.4">
      <c r="C230" s="15">
        <v>11350000</v>
      </c>
    </row>
    <row r="231" spans="3:3" x14ac:dyDescent="0.4">
      <c r="C231" s="15">
        <v>11400000</v>
      </c>
    </row>
    <row r="232" spans="3:3" x14ac:dyDescent="0.4">
      <c r="C232" s="15">
        <v>11450000</v>
      </c>
    </row>
    <row r="233" spans="3:3" x14ac:dyDescent="0.4">
      <c r="C233" s="15">
        <v>11500000</v>
      </c>
    </row>
    <row r="234" spans="3:3" x14ac:dyDescent="0.4">
      <c r="C234" s="15">
        <v>11550000</v>
      </c>
    </row>
    <row r="235" spans="3:3" x14ac:dyDescent="0.4">
      <c r="C235" s="15">
        <v>11600000</v>
      </c>
    </row>
    <row r="236" spans="3:3" x14ac:dyDescent="0.4">
      <c r="C236" s="15">
        <v>11650000</v>
      </c>
    </row>
    <row r="237" spans="3:3" x14ac:dyDescent="0.4">
      <c r="C237" s="15">
        <v>11700000</v>
      </c>
    </row>
    <row r="238" spans="3:3" x14ac:dyDescent="0.4">
      <c r="C238" s="15">
        <v>11750000</v>
      </c>
    </row>
    <row r="239" spans="3:3" x14ac:dyDescent="0.4">
      <c r="C239" s="15">
        <v>11800000</v>
      </c>
    </row>
    <row r="240" spans="3:3" x14ac:dyDescent="0.4">
      <c r="C240" s="15">
        <v>11850000</v>
      </c>
    </row>
    <row r="241" spans="3:3" x14ac:dyDescent="0.4">
      <c r="C241" s="15">
        <v>11900000</v>
      </c>
    </row>
    <row r="242" spans="3:3" x14ac:dyDescent="0.4">
      <c r="C242" s="15">
        <v>11950000</v>
      </c>
    </row>
    <row r="243" spans="3:3" x14ac:dyDescent="0.4">
      <c r="C243" s="15">
        <v>12000000</v>
      </c>
    </row>
    <row r="244" spans="3:3" x14ac:dyDescent="0.4">
      <c r="C244" s="15">
        <v>12050000</v>
      </c>
    </row>
    <row r="245" spans="3:3" x14ac:dyDescent="0.4">
      <c r="C245" s="15">
        <v>12100000</v>
      </c>
    </row>
    <row r="246" spans="3:3" x14ac:dyDescent="0.4">
      <c r="C246" s="15">
        <v>12150000</v>
      </c>
    </row>
    <row r="247" spans="3:3" x14ac:dyDescent="0.4">
      <c r="C247" s="15">
        <v>12200000</v>
      </c>
    </row>
    <row r="248" spans="3:3" x14ac:dyDescent="0.4">
      <c r="C248" s="15">
        <v>12250000</v>
      </c>
    </row>
    <row r="249" spans="3:3" x14ac:dyDescent="0.4">
      <c r="C249" s="15">
        <v>12300000</v>
      </c>
    </row>
    <row r="250" spans="3:3" x14ac:dyDescent="0.4">
      <c r="C250" s="15">
        <v>12350000</v>
      </c>
    </row>
    <row r="251" spans="3:3" x14ac:dyDescent="0.4">
      <c r="C251" s="15">
        <v>12400000</v>
      </c>
    </row>
    <row r="252" spans="3:3" x14ac:dyDescent="0.4">
      <c r="C252" s="15">
        <v>12450000</v>
      </c>
    </row>
    <row r="253" spans="3:3" x14ac:dyDescent="0.4">
      <c r="C253" s="15">
        <v>12500000</v>
      </c>
    </row>
    <row r="254" spans="3:3" x14ac:dyDescent="0.4">
      <c r="C254" s="15">
        <v>12550000</v>
      </c>
    </row>
    <row r="255" spans="3:3" x14ac:dyDescent="0.4">
      <c r="C255" s="15">
        <v>12600000</v>
      </c>
    </row>
    <row r="256" spans="3:3" x14ac:dyDescent="0.4">
      <c r="C256" s="15">
        <v>12650000</v>
      </c>
    </row>
    <row r="257" spans="3:3" x14ac:dyDescent="0.4">
      <c r="C257" s="15">
        <v>12700000</v>
      </c>
    </row>
    <row r="258" spans="3:3" x14ac:dyDescent="0.4">
      <c r="C258" s="15">
        <v>12750000</v>
      </c>
    </row>
    <row r="259" spans="3:3" x14ac:dyDescent="0.4">
      <c r="C259" s="15">
        <v>12800000</v>
      </c>
    </row>
    <row r="260" spans="3:3" x14ac:dyDescent="0.4">
      <c r="C260" s="15">
        <v>12850000</v>
      </c>
    </row>
    <row r="261" spans="3:3" x14ac:dyDescent="0.4">
      <c r="C261" s="15">
        <v>12900000</v>
      </c>
    </row>
    <row r="262" spans="3:3" x14ac:dyDescent="0.4">
      <c r="C262" s="15">
        <v>12950000</v>
      </c>
    </row>
    <row r="263" spans="3:3" x14ac:dyDescent="0.4">
      <c r="C263" s="15">
        <v>13000000</v>
      </c>
    </row>
    <row r="264" spans="3:3" x14ac:dyDescent="0.4">
      <c r="C264" s="15">
        <v>13050000</v>
      </c>
    </row>
    <row r="265" spans="3:3" x14ac:dyDescent="0.4">
      <c r="C265" s="15">
        <v>13100000</v>
      </c>
    </row>
    <row r="266" spans="3:3" x14ac:dyDescent="0.4">
      <c r="C266" s="15">
        <v>13150000</v>
      </c>
    </row>
    <row r="267" spans="3:3" x14ac:dyDescent="0.4">
      <c r="C267" s="15">
        <v>13200000</v>
      </c>
    </row>
    <row r="268" spans="3:3" x14ac:dyDescent="0.4">
      <c r="C268" s="15">
        <v>13250000</v>
      </c>
    </row>
    <row r="269" spans="3:3" x14ac:dyDescent="0.4">
      <c r="C269" s="15">
        <v>13300000</v>
      </c>
    </row>
    <row r="270" spans="3:3" x14ac:dyDescent="0.4">
      <c r="C270" s="15">
        <v>13350000</v>
      </c>
    </row>
    <row r="271" spans="3:3" x14ac:dyDescent="0.4">
      <c r="C271" s="15">
        <v>13400000</v>
      </c>
    </row>
    <row r="272" spans="3:3" x14ac:dyDescent="0.4">
      <c r="C272" s="15">
        <v>13450000</v>
      </c>
    </row>
    <row r="273" spans="3:3" x14ac:dyDescent="0.4">
      <c r="C273" s="15">
        <v>13500000</v>
      </c>
    </row>
    <row r="274" spans="3:3" x14ac:dyDescent="0.4">
      <c r="C274" s="15">
        <v>13550000</v>
      </c>
    </row>
    <row r="275" spans="3:3" x14ac:dyDescent="0.4">
      <c r="C275" s="15">
        <v>13600000</v>
      </c>
    </row>
    <row r="276" spans="3:3" x14ac:dyDescent="0.4">
      <c r="C276" s="15">
        <v>13650000</v>
      </c>
    </row>
    <row r="277" spans="3:3" x14ac:dyDescent="0.4">
      <c r="C277" s="15">
        <v>13700000</v>
      </c>
    </row>
    <row r="278" spans="3:3" x14ac:dyDescent="0.4">
      <c r="C278" s="15">
        <v>13750000</v>
      </c>
    </row>
    <row r="279" spans="3:3" x14ac:dyDescent="0.4">
      <c r="C279" s="15">
        <v>13800000</v>
      </c>
    </row>
    <row r="280" spans="3:3" x14ac:dyDescent="0.4">
      <c r="C280" s="15">
        <v>13850000</v>
      </c>
    </row>
    <row r="281" spans="3:3" x14ac:dyDescent="0.4">
      <c r="C281" s="15">
        <v>13900000</v>
      </c>
    </row>
    <row r="282" spans="3:3" x14ac:dyDescent="0.4">
      <c r="C282" s="15">
        <v>13950000</v>
      </c>
    </row>
    <row r="283" spans="3:3" x14ac:dyDescent="0.4">
      <c r="C283" s="15">
        <v>14000000</v>
      </c>
    </row>
    <row r="284" spans="3:3" x14ac:dyDescent="0.4">
      <c r="C284" s="15">
        <v>14050000</v>
      </c>
    </row>
    <row r="285" spans="3:3" x14ac:dyDescent="0.4">
      <c r="C285" s="15">
        <v>14100000</v>
      </c>
    </row>
    <row r="286" spans="3:3" x14ac:dyDescent="0.4">
      <c r="C286" s="15">
        <v>14150000</v>
      </c>
    </row>
    <row r="287" spans="3:3" x14ac:dyDescent="0.4">
      <c r="C287" s="15">
        <v>14200000</v>
      </c>
    </row>
    <row r="288" spans="3:3" x14ac:dyDescent="0.4">
      <c r="C288" s="15">
        <v>14250000</v>
      </c>
    </row>
    <row r="289" spans="3:3" x14ac:dyDescent="0.4">
      <c r="C289" s="15">
        <v>14300000</v>
      </c>
    </row>
    <row r="290" spans="3:3" x14ac:dyDescent="0.4">
      <c r="C290" s="15">
        <v>14350000</v>
      </c>
    </row>
    <row r="291" spans="3:3" x14ac:dyDescent="0.4">
      <c r="C291" s="15">
        <v>14400000</v>
      </c>
    </row>
    <row r="292" spans="3:3" x14ac:dyDescent="0.4">
      <c r="C292" s="15">
        <v>14450000</v>
      </c>
    </row>
    <row r="293" spans="3:3" x14ac:dyDescent="0.4">
      <c r="C293" s="15">
        <v>14500000</v>
      </c>
    </row>
    <row r="294" spans="3:3" x14ac:dyDescent="0.4">
      <c r="C294" s="15">
        <v>14550000</v>
      </c>
    </row>
    <row r="295" spans="3:3" x14ac:dyDescent="0.4">
      <c r="C295" s="15">
        <v>14600000</v>
      </c>
    </row>
    <row r="296" spans="3:3" x14ac:dyDescent="0.4">
      <c r="C296" s="15">
        <v>14650000</v>
      </c>
    </row>
    <row r="297" spans="3:3" x14ac:dyDescent="0.4">
      <c r="C297" s="15">
        <v>14700000</v>
      </c>
    </row>
    <row r="298" spans="3:3" x14ac:dyDescent="0.4">
      <c r="C298" s="15">
        <v>14750000</v>
      </c>
    </row>
    <row r="299" spans="3:3" x14ac:dyDescent="0.4">
      <c r="C299" s="15">
        <v>14800000</v>
      </c>
    </row>
    <row r="300" spans="3:3" x14ac:dyDescent="0.4">
      <c r="C300" s="15">
        <v>14850000</v>
      </c>
    </row>
    <row r="301" spans="3:3" x14ac:dyDescent="0.4">
      <c r="C301" s="15">
        <v>14900000</v>
      </c>
    </row>
    <row r="302" spans="3:3" x14ac:dyDescent="0.4">
      <c r="C302" s="15">
        <v>14950000</v>
      </c>
    </row>
    <row r="303" spans="3:3" x14ac:dyDescent="0.4">
      <c r="C303" s="15">
        <v>15000000</v>
      </c>
    </row>
  </sheetData>
  <sheetProtection password="962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</vt:i4>
      </vt:variant>
    </vt:vector>
  </HeadingPairs>
  <TitlesOfParts>
    <vt:vector size="9" baseType="lpstr">
      <vt:lpstr>計算シート</vt:lpstr>
      <vt:lpstr>計算の詳細</vt:lpstr>
      <vt:lpstr>算出基礎表</vt:lpstr>
      <vt:lpstr>参考 R6修正箇所</vt:lpstr>
      <vt:lpstr>給与所得</vt:lpstr>
      <vt:lpstr>年金所得</vt:lpstr>
      <vt:lpstr>ドロップダウンリスト</vt:lpstr>
      <vt:lpstr>計算シート!Print_Area</vt:lpstr>
      <vt:lpstr>計算の詳細!Print_Area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藤井 美里</cp:lastModifiedBy>
  <cp:lastPrinted>2024-03-22T02:13:06Z</cp:lastPrinted>
  <dcterms:created xsi:type="dcterms:W3CDTF">2021-12-29T10:50:54Z</dcterms:created>
  <dcterms:modified xsi:type="dcterms:W3CDTF">2025-03-18T09:36:55Z</dcterms:modified>
</cp:coreProperties>
</file>