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Y:\国保賦課担当\05_試算（税額計算）\R8\"/>
    </mc:Choice>
  </mc:AlternateContent>
  <xr:revisionPtr revIDLastSave="0" documentId="13_ncr:1_{82C7F9BC-58BE-4596-A155-E9EFBAA0BA84}" xr6:coauthVersionLast="36" xr6:coauthVersionMax="36" xr10:uidLastSave="{00000000-0000-0000-0000-000000000000}"/>
  <workbookProtection workbookAlgorithmName="SHA-512" workbookHashValue="s9Q46goFzvErvMpvNkV7SKqjeqPalcZ7E78v49wyObj4XVZA3AA26+r6gfdvomMxVJugRMM2ajUGjagGEnc9Pw==" workbookSaltValue="urqYjegZyrJ5fniLVoSAdA==" workbookSpinCount="100000" lockStructure="1"/>
  <bookViews>
    <workbookView xWindow="0" yWindow="0" windowWidth="22260" windowHeight="12648" xr2:uid="{00000000-000D-0000-FFFF-FFFF00000000}"/>
  </bookViews>
  <sheets>
    <sheet name="入力＆結果" sheetId="2" r:id="rId1"/>
    <sheet name="計算の詳細" sheetId="4" r:id="rId2"/>
    <sheet name="算出基礎情報" sheetId="5" state="hidden" r:id="rId3"/>
    <sheet name="給与所得算出" sheetId="6" state="hidden" r:id="rId4"/>
    <sheet name="年金所得算出" sheetId="7" state="hidden" r:id="rId5"/>
    <sheet name="源泉徴収票等の見方" sheetId="3" r:id="rId6"/>
    <sheet name="内訳表" sheetId="8" state="hidden" r:id="rId7"/>
    <sheet name="ドロップダウンリスト" sheetId="9" state="hidden" r:id="rId8"/>
  </sheets>
  <definedNames>
    <definedName name="_xlnm.Print_Area" localSheetId="1">計算の詳細!$A$1:$T$79</definedName>
    <definedName name="_xlnm.Print_Area" localSheetId="2">算出基礎情報!$A$1:$V$67</definedName>
    <definedName name="_xlnm.Print_Area" localSheetId="0">'入力＆結果'!$A$1:$AN$65</definedName>
    <definedName name="昭和">ドロップダウンリスト!$E$5:$E$43</definedName>
    <definedName name="昭和_">ドロップダウンリスト!$S$5:$S$68</definedName>
    <definedName name="平成">ドロップダウンリスト!$F$5:$F$35</definedName>
    <definedName name="令和">ドロップダウンリスト!$G$5:$G$13</definedName>
    <definedName name="令和８年">ドロップダウンリスト!$P$5:$P$13</definedName>
    <definedName name="令和９年">ドロップダウンリスト!$Q$5:$Q$7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1" i="4" l="1"/>
  <c r="D76" i="8" l="1"/>
  <c r="X69" i="8"/>
  <c r="W69" i="8"/>
  <c r="S69" i="8"/>
  <c r="R69" i="8"/>
  <c r="Q69" i="8"/>
  <c r="O69" i="8"/>
  <c r="N69" i="8"/>
  <c r="M69" i="8"/>
  <c r="K69" i="8"/>
  <c r="J69" i="8"/>
  <c r="I69" i="8"/>
  <c r="D65" i="8"/>
  <c r="X58" i="8"/>
  <c r="W58" i="8"/>
  <c r="S58" i="8"/>
  <c r="R58" i="8"/>
  <c r="Q58" i="8"/>
  <c r="O58" i="8"/>
  <c r="N58" i="8"/>
  <c r="M58" i="8"/>
  <c r="K58" i="8"/>
  <c r="J58" i="8"/>
  <c r="I58" i="8"/>
  <c r="D54" i="8"/>
  <c r="X47" i="8"/>
  <c r="W47" i="8"/>
  <c r="S47" i="8"/>
  <c r="R47" i="8"/>
  <c r="Q47" i="8"/>
  <c r="O47" i="8"/>
  <c r="N47" i="8"/>
  <c r="M47" i="8"/>
  <c r="K47" i="8"/>
  <c r="J47" i="8"/>
  <c r="I47" i="8"/>
  <c r="D43" i="8"/>
  <c r="X36" i="8"/>
  <c r="W36" i="8"/>
  <c r="S36" i="8"/>
  <c r="R36" i="8"/>
  <c r="Q36" i="8"/>
  <c r="O36" i="8"/>
  <c r="N36" i="8"/>
  <c r="M36" i="8"/>
  <c r="K36" i="8"/>
  <c r="J36" i="8"/>
  <c r="I36" i="8"/>
  <c r="D32" i="8"/>
  <c r="D21" i="8"/>
  <c r="X25" i="8"/>
  <c r="W25" i="8"/>
  <c r="S25" i="8"/>
  <c r="R25" i="8"/>
  <c r="Q25" i="8"/>
  <c r="O25" i="8"/>
  <c r="N25" i="8"/>
  <c r="M25" i="8"/>
  <c r="K25" i="8"/>
  <c r="J25" i="8"/>
  <c r="I25" i="8"/>
  <c r="N3" i="9" l="1"/>
  <c r="N4" i="9" s="1"/>
  <c r="M3" i="9"/>
  <c r="M4" i="9" s="1"/>
  <c r="L3" i="9"/>
  <c r="L4" i="9" s="1"/>
  <c r="K3" i="9"/>
  <c r="K4" i="9" s="1"/>
  <c r="J3" i="9"/>
  <c r="J4" i="9" s="1"/>
  <c r="I3" i="9"/>
  <c r="I4" i="9" s="1"/>
  <c r="X14" i="8"/>
  <c r="W14" i="8"/>
  <c r="S14" i="8"/>
  <c r="R14" i="8"/>
  <c r="Q14" i="8"/>
  <c r="O14" i="8"/>
  <c r="N14" i="8"/>
  <c r="M14" i="8"/>
  <c r="K14" i="8"/>
  <c r="J14" i="8"/>
  <c r="I14" i="8"/>
  <c r="L10" i="8"/>
  <c r="J10" i="8"/>
  <c r="H10" i="8"/>
  <c r="F10" i="8"/>
  <c r="C30" i="7"/>
  <c r="C29" i="7"/>
  <c r="C28" i="7"/>
  <c r="C27" i="7"/>
  <c r="C26" i="7"/>
  <c r="C25" i="7"/>
  <c r="Q24" i="7"/>
  <c r="P24" i="7"/>
  <c r="O24" i="7"/>
  <c r="N24" i="7"/>
  <c r="M24" i="7"/>
  <c r="L24" i="7"/>
  <c r="K24" i="7"/>
  <c r="J24" i="7"/>
  <c r="I24" i="7"/>
  <c r="H24" i="7"/>
  <c r="G24" i="7"/>
  <c r="F24" i="7"/>
  <c r="Q23" i="7"/>
  <c r="P23" i="7"/>
  <c r="O23" i="7"/>
  <c r="N23" i="7"/>
  <c r="M23" i="7"/>
  <c r="L23" i="7"/>
  <c r="K23" i="7"/>
  <c r="J23" i="7"/>
  <c r="I23" i="7"/>
  <c r="H23" i="7"/>
  <c r="G23" i="7"/>
  <c r="F23" i="7"/>
  <c r="C21" i="6"/>
  <c r="C20" i="6"/>
  <c r="I20" i="6" s="1"/>
  <c r="C19" i="6"/>
  <c r="I19" i="6" s="1"/>
  <c r="C18" i="6"/>
  <c r="H18" i="6" s="1"/>
  <c r="C17" i="6"/>
  <c r="F17" i="6" s="1"/>
  <c r="C16" i="6"/>
  <c r="L15" i="6"/>
  <c r="K15" i="6"/>
  <c r="J15" i="6"/>
  <c r="I15" i="6"/>
  <c r="H15" i="6"/>
  <c r="G15" i="6"/>
  <c r="F15" i="6"/>
  <c r="E15" i="6"/>
  <c r="L14" i="6"/>
  <c r="K14" i="6"/>
  <c r="J14" i="6"/>
  <c r="I14" i="6"/>
  <c r="H14" i="6"/>
  <c r="G14" i="6"/>
  <c r="F14" i="6"/>
  <c r="E14" i="6"/>
  <c r="J63" i="5"/>
  <c r="J62" i="5"/>
  <c r="K61" i="5"/>
  <c r="J61" i="5"/>
  <c r="S26" i="5"/>
  <c r="S27" i="5" s="1"/>
  <c r="R26" i="5"/>
  <c r="R27" i="5" s="1"/>
  <c r="S24" i="5"/>
  <c r="S25" i="5" s="1"/>
  <c r="R24" i="5"/>
  <c r="R25" i="5" s="1"/>
  <c r="S22" i="5"/>
  <c r="S23" i="5" s="1"/>
  <c r="R22" i="5"/>
  <c r="R23" i="5" s="1"/>
  <c r="S20" i="5"/>
  <c r="S21" i="5" s="1"/>
  <c r="R20" i="5"/>
  <c r="R21" i="5" s="1"/>
  <c r="S18" i="5"/>
  <c r="S19" i="5" s="1"/>
  <c r="R18" i="5"/>
  <c r="R19" i="5" s="1"/>
  <c r="S16" i="5"/>
  <c r="N15" i="5"/>
  <c r="M15" i="5"/>
  <c r="M16" i="5" s="1"/>
  <c r="L15" i="5"/>
  <c r="K15" i="5"/>
  <c r="K16" i="5" s="1"/>
  <c r="J15" i="5"/>
  <c r="J16" i="5" s="1"/>
  <c r="I15" i="5"/>
  <c r="I16" i="5" s="1"/>
  <c r="H15" i="5"/>
  <c r="H16" i="5" s="1"/>
  <c r="G15" i="5"/>
  <c r="G16" i="5" s="1"/>
  <c r="F15" i="5"/>
  <c r="E15" i="5"/>
  <c r="E16" i="5" s="1"/>
  <c r="D15" i="5"/>
  <c r="C15" i="5"/>
  <c r="C16" i="5" s="1"/>
  <c r="G10" i="5"/>
  <c r="F10" i="5"/>
  <c r="N55" i="5" s="1"/>
  <c r="E10" i="5"/>
  <c r="D55" i="5" s="1"/>
  <c r="D10" i="5"/>
  <c r="C10" i="5"/>
  <c r="G9" i="5"/>
  <c r="F9" i="5"/>
  <c r="N54" i="5" s="1"/>
  <c r="E9" i="5"/>
  <c r="D54" i="5" s="1"/>
  <c r="D9" i="5"/>
  <c r="C54" i="5" s="1"/>
  <c r="C9" i="5"/>
  <c r="G8" i="5"/>
  <c r="F8" i="5"/>
  <c r="E8" i="5"/>
  <c r="D53" i="5" s="1"/>
  <c r="D8" i="5"/>
  <c r="C53" i="5" s="1"/>
  <c r="C8" i="5"/>
  <c r="B41" i="5" s="1"/>
  <c r="G7" i="5"/>
  <c r="F7" i="5"/>
  <c r="E7" i="5"/>
  <c r="D52" i="5" s="1"/>
  <c r="D7" i="5"/>
  <c r="C52" i="5" s="1"/>
  <c r="C7" i="5"/>
  <c r="G6" i="5"/>
  <c r="F6" i="5"/>
  <c r="N51" i="5" s="1"/>
  <c r="E6" i="5"/>
  <c r="D51" i="5" s="1"/>
  <c r="D6" i="5"/>
  <c r="C51" i="5" s="1"/>
  <c r="C6" i="5"/>
  <c r="G5" i="5"/>
  <c r="F5" i="5"/>
  <c r="N50" i="5" s="1"/>
  <c r="E5" i="5"/>
  <c r="D5" i="5"/>
  <c r="C5" i="5"/>
  <c r="B5" i="5"/>
  <c r="G3" i="5"/>
  <c r="Q3" i="8" s="1"/>
  <c r="F3" i="5"/>
  <c r="P3" i="8" s="1"/>
  <c r="G73" i="4"/>
  <c r="J69" i="4"/>
  <c r="N62" i="4"/>
  <c r="G56" i="4"/>
  <c r="J51" i="4"/>
  <c r="N44" i="4"/>
  <c r="G38" i="4"/>
  <c r="J36" i="4"/>
  <c r="J33" i="4"/>
  <c r="N26" i="4"/>
  <c r="G20" i="4"/>
  <c r="J18" i="4"/>
  <c r="J15" i="4"/>
  <c r="N8" i="4"/>
  <c r="X46" i="2"/>
  <c r="Q46" i="2"/>
  <c r="L46" i="2"/>
  <c r="G46" i="2"/>
  <c r="C50" i="5" l="1"/>
  <c r="C61" i="5"/>
  <c r="D50" i="5"/>
  <c r="C55" i="5"/>
  <c r="C38" i="5"/>
  <c r="B43" i="5"/>
  <c r="G43" i="5" s="1"/>
  <c r="F55" i="5" s="1"/>
  <c r="B42" i="5"/>
  <c r="G42" i="5" s="1"/>
  <c r="F54" i="5" s="1"/>
  <c r="B39" i="5"/>
  <c r="G39" i="5" s="1"/>
  <c r="F51" i="5" s="1"/>
  <c r="H51" i="5" s="1"/>
  <c r="B38" i="5"/>
  <c r="G38" i="5" s="1"/>
  <c r="F50" i="5" s="1"/>
  <c r="J25" i="2"/>
  <c r="E24" i="2" s="1"/>
  <c r="B40" i="5"/>
  <c r="G40" i="5" s="1"/>
  <c r="J29" i="2"/>
  <c r="E28" i="2" s="1"/>
  <c r="G41" i="5"/>
  <c r="F53" i="5" s="1"/>
  <c r="J27" i="2"/>
  <c r="E26" i="2" s="1"/>
  <c r="J31" i="2"/>
  <c r="E30" i="2" s="1"/>
  <c r="J23" i="2"/>
  <c r="E22" i="2" s="1"/>
  <c r="J21" i="2"/>
  <c r="E22" i="5"/>
  <c r="M22" i="5"/>
  <c r="F38" i="5"/>
  <c r="K20" i="5"/>
  <c r="H22" i="5"/>
  <c r="C21" i="5"/>
  <c r="C39" i="5"/>
  <c r="I20" i="5"/>
  <c r="J20" i="5"/>
  <c r="H17" i="6"/>
  <c r="J19" i="6"/>
  <c r="F18" i="6"/>
  <c r="G18" i="6"/>
  <c r="J18" i="6"/>
  <c r="G19" i="6"/>
  <c r="H19" i="6"/>
  <c r="I18" i="6"/>
  <c r="G17" i="6"/>
  <c r="I17" i="6"/>
  <c r="J17" i="6"/>
  <c r="L25" i="5"/>
  <c r="N25" i="5"/>
  <c r="K25" i="5"/>
  <c r="C25" i="5"/>
  <c r="D25" i="5"/>
  <c r="F25" i="5"/>
  <c r="D24" i="5"/>
  <c r="J24" i="5"/>
  <c r="L24" i="5"/>
  <c r="I24" i="5"/>
  <c r="J23" i="5"/>
  <c r="G23" i="5"/>
  <c r="H23" i="5"/>
  <c r="J16" i="6"/>
  <c r="I16" i="6"/>
  <c r="F16" i="6"/>
  <c r="H16" i="6"/>
  <c r="G16" i="6"/>
  <c r="G22" i="5"/>
  <c r="K22" i="5"/>
  <c r="C22" i="5"/>
  <c r="J22" i="5"/>
  <c r="I22" i="5"/>
  <c r="N53" i="5"/>
  <c r="M41" i="5"/>
  <c r="D16" i="5"/>
  <c r="L16" i="5"/>
  <c r="L20" i="5" s="1"/>
  <c r="C42" i="5"/>
  <c r="C41" i="5"/>
  <c r="S17" i="5"/>
  <c r="C43" i="5"/>
  <c r="K21" i="5"/>
  <c r="C40" i="5"/>
  <c r="I21" i="6"/>
  <c r="H21" i="6"/>
  <c r="G21" i="6"/>
  <c r="F21" i="6"/>
  <c r="J21" i="6"/>
  <c r="C17" i="5"/>
  <c r="F16" i="5"/>
  <c r="F22" i="5" s="1"/>
  <c r="N16" i="5"/>
  <c r="N22" i="5" s="1"/>
  <c r="M38" i="5"/>
  <c r="F39" i="5"/>
  <c r="M21" i="5"/>
  <c r="E21" i="5"/>
  <c r="J21" i="5"/>
  <c r="I21" i="5"/>
  <c r="H21" i="5"/>
  <c r="G21" i="5"/>
  <c r="N52" i="5"/>
  <c r="M40" i="5"/>
  <c r="D41" i="5"/>
  <c r="B53" i="5"/>
  <c r="E41" i="5"/>
  <c r="E20" i="5"/>
  <c r="M20" i="5"/>
  <c r="C23" i="5"/>
  <c r="K23" i="5"/>
  <c r="E24" i="5"/>
  <c r="M24" i="5"/>
  <c r="G25" i="5"/>
  <c r="F40" i="5"/>
  <c r="D23" i="5"/>
  <c r="L23" i="5"/>
  <c r="F24" i="5"/>
  <c r="N24" i="5"/>
  <c r="H25" i="5"/>
  <c r="F41" i="5"/>
  <c r="M42" i="5"/>
  <c r="G20" i="5"/>
  <c r="E23" i="5"/>
  <c r="M23" i="5"/>
  <c r="G24" i="5"/>
  <c r="I25" i="5"/>
  <c r="F42" i="5"/>
  <c r="M43" i="5"/>
  <c r="I33" i="9"/>
  <c r="I35" i="9"/>
  <c r="I34" i="9" s="1"/>
  <c r="H20" i="5"/>
  <c r="F23" i="5"/>
  <c r="N23" i="5"/>
  <c r="H24" i="5"/>
  <c r="J25" i="5"/>
  <c r="F43" i="5"/>
  <c r="J20" i="6"/>
  <c r="H20" i="6"/>
  <c r="G20" i="6"/>
  <c r="F20" i="6"/>
  <c r="J33" i="9"/>
  <c r="J35" i="9"/>
  <c r="J34" i="9" s="1"/>
  <c r="K35" i="9"/>
  <c r="K34" i="9" s="1"/>
  <c r="K33" i="9"/>
  <c r="L35" i="9"/>
  <c r="L34" i="9" s="1"/>
  <c r="L33" i="9"/>
  <c r="C20" i="5"/>
  <c r="I23" i="5"/>
  <c r="C24" i="5"/>
  <c r="K24" i="5"/>
  <c r="E25" i="5"/>
  <c r="M25" i="5"/>
  <c r="M39" i="5"/>
  <c r="M35" i="9"/>
  <c r="M34" i="9" s="1"/>
  <c r="M33" i="9"/>
  <c r="N35" i="9"/>
  <c r="N34" i="9" s="1"/>
  <c r="N33" i="9"/>
  <c r="F19" i="6"/>
  <c r="E42" i="5" l="1"/>
  <c r="D42" i="5"/>
  <c r="B54" i="5"/>
  <c r="C65" i="5" s="1"/>
  <c r="C64" i="5"/>
  <c r="D43" i="5"/>
  <c r="N21" i="5"/>
  <c r="E43" i="5"/>
  <c r="B55" i="5"/>
  <c r="C31" i="5"/>
  <c r="D38" i="5"/>
  <c r="C49" i="2"/>
  <c r="E38" i="5"/>
  <c r="F52" i="5"/>
  <c r="D19" i="6"/>
  <c r="H41" i="5" s="1"/>
  <c r="D18" i="6"/>
  <c r="H40" i="5" s="1"/>
  <c r="C26" i="5"/>
  <c r="D17" i="6"/>
  <c r="H39" i="5" s="1"/>
  <c r="G51" i="5" s="1"/>
  <c r="D21" i="6"/>
  <c r="H43" i="5" s="1"/>
  <c r="D20" i="6"/>
  <c r="H42" i="5" s="1"/>
  <c r="F44" i="5"/>
  <c r="H17" i="4" s="1"/>
  <c r="L17" i="4" s="1"/>
  <c r="D25" i="7"/>
  <c r="C44" i="5"/>
  <c r="E50" i="5"/>
  <c r="D61" i="5" s="1"/>
  <c r="E40" i="5"/>
  <c r="D40" i="5"/>
  <c r="B52" i="5"/>
  <c r="D22" i="5"/>
  <c r="B50" i="5"/>
  <c r="B44" i="5"/>
  <c r="L15" i="4" s="1"/>
  <c r="D28" i="7"/>
  <c r="E53" i="5"/>
  <c r="D64" i="5" s="1"/>
  <c r="L22" i="5"/>
  <c r="D21" i="5"/>
  <c r="D20" i="5"/>
  <c r="D17" i="5"/>
  <c r="C27" i="5"/>
  <c r="N20" i="5"/>
  <c r="C28" i="5"/>
  <c r="C30" i="5"/>
  <c r="F20" i="5"/>
  <c r="D29" i="7"/>
  <c r="E54" i="5"/>
  <c r="C29" i="5"/>
  <c r="D26" i="7"/>
  <c r="E51" i="5"/>
  <c r="B51" i="5"/>
  <c r="E39" i="5"/>
  <c r="D39" i="5"/>
  <c r="D27" i="7"/>
  <c r="E52" i="5"/>
  <c r="D30" i="7"/>
  <c r="E55" i="5"/>
  <c r="D16" i="6"/>
  <c r="H38" i="5" s="1"/>
  <c r="I38" i="5" s="1"/>
  <c r="F21" i="5"/>
  <c r="L21" i="5"/>
  <c r="E64" i="5" l="1"/>
  <c r="B64" i="5" s="1"/>
  <c r="D62" i="5"/>
  <c r="E62" i="5"/>
  <c r="C62" i="5"/>
  <c r="E63" i="5"/>
  <c r="D63" i="5"/>
  <c r="E65" i="5"/>
  <c r="D65" i="5"/>
  <c r="D66" i="5"/>
  <c r="E66" i="5"/>
  <c r="C63" i="5"/>
  <c r="C66" i="5"/>
  <c r="E61" i="5"/>
  <c r="B61" i="5" s="1"/>
  <c r="I39" i="5"/>
  <c r="R39" i="5" s="1"/>
  <c r="G52" i="5"/>
  <c r="H52" i="5" s="1"/>
  <c r="I40" i="5"/>
  <c r="G54" i="5"/>
  <c r="H54" i="5" s="1"/>
  <c r="R54" i="5" s="1"/>
  <c r="I42" i="5"/>
  <c r="R42" i="5" s="1"/>
  <c r="G30" i="7"/>
  <c r="N30" i="7"/>
  <c r="P30" i="7"/>
  <c r="O30" i="7"/>
  <c r="H30" i="7"/>
  <c r="J30" i="7"/>
  <c r="Q30" i="7"/>
  <c r="I30" i="7"/>
  <c r="M30" i="7"/>
  <c r="K30" i="7"/>
  <c r="G53" i="5"/>
  <c r="H53" i="5" s="1"/>
  <c r="R53" i="5" s="1"/>
  <c r="I41" i="5"/>
  <c r="R41" i="5" s="1"/>
  <c r="G55" i="5"/>
  <c r="H55" i="5" s="1"/>
  <c r="I43" i="5"/>
  <c r="R43" i="5" s="1"/>
  <c r="R40" i="5"/>
  <c r="M17" i="4"/>
  <c r="F17" i="4"/>
  <c r="H35" i="4"/>
  <c r="L35" i="4" s="1"/>
  <c r="C18" i="5"/>
  <c r="G50" i="5"/>
  <c r="H50" i="5" s="1"/>
  <c r="R38" i="5"/>
  <c r="N28" i="7"/>
  <c r="K28" i="7"/>
  <c r="J28" i="7"/>
  <c r="I28" i="7"/>
  <c r="Q28" i="7"/>
  <c r="H28" i="7"/>
  <c r="O28" i="7"/>
  <c r="M28" i="7"/>
  <c r="G28" i="7"/>
  <c r="P28" i="7"/>
  <c r="L33" i="4"/>
  <c r="N15" i="4"/>
  <c r="M25" i="7"/>
  <c r="J25" i="7"/>
  <c r="I25" i="7"/>
  <c r="Q25" i="7"/>
  <c r="H25" i="7"/>
  <c r="P25" i="7"/>
  <c r="G25" i="7"/>
  <c r="N25" i="7"/>
  <c r="K25" i="7"/>
  <c r="O25" i="7"/>
  <c r="Q29" i="7"/>
  <c r="H29" i="7"/>
  <c r="O29" i="7"/>
  <c r="N29" i="7"/>
  <c r="M29" i="7"/>
  <c r="K29" i="7"/>
  <c r="G29" i="7"/>
  <c r="P29" i="7"/>
  <c r="J29" i="7"/>
  <c r="I29" i="7"/>
  <c r="B56" i="5"/>
  <c r="J27" i="7"/>
  <c r="Q27" i="7"/>
  <c r="H27" i="7"/>
  <c r="P27" i="7"/>
  <c r="G27" i="7"/>
  <c r="O27" i="7"/>
  <c r="N27" i="7"/>
  <c r="M27" i="7"/>
  <c r="K27" i="7"/>
  <c r="I27" i="7"/>
  <c r="D30" i="5"/>
  <c r="E17" i="5"/>
  <c r="D31" i="5"/>
  <c r="D29" i="5"/>
  <c r="D27" i="5"/>
  <c r="D28" i="5"/>
  <c r="D26" i="5"/>
  <c r="E44" i="5"/>
  <c r="L69" i="4" s="1"/>
  <c r="P26" i="7"/>
  <c r="G26" i="7"/>
  <c r="N26" i="7"/>
  <c r="M26" i="7"/>
  <c r="K26" i="7"/>
  <c r="J26" i="7"/>
  <c r="Q26" i="7"/>
  <c r="O26" i="7"/>
  <c r="I26" i="7"/>
  <c r="H26" i="7"/>
  <c r="D44" i="5"/>
  <c r="L51" i="4" s="1"/>
  <c r="B65" i="5" l="1"/>
  <c r="B63" i="5"/>
  <c r="C19" i="5"/>
  <c r="B62" i="5"/>
  <c r="B66" i="5"/>
  <c r="R55" i="5"/>
  <c r="R52" i="5"/>
  <c r="R51" i="5"/>
  <c r="M35" i="4"/>
  <c r="F35" i="4"/>
  <c r="D18" i="5"/>
  <c r="D19" i="5" s="1"/>
  <c r="D14" i="5" s="1"/>
  <c r="K62" i="5"/>
  <c r="K63" i="5"/>
  <c r="E30" i="7"/>
  <c r="L43" i="5" s="1"/>
  <c r="N69" i="4"/>
  <c r="E31" i="5"/>
  <c r="E29" i="5"/>
  <c r="E26" i="5"/>
  <c r="F17" i="5"/>
  <c r="E27" i="5"/>
  <c r="E30" i="5"/>
  <c r="E28" i="5"/>
  <c r="E25" i="7"/>
  <c r="L38" i="5" s="1"/>
  <c r="R50" i="5"/>
  <c r="E27" i="7"/>
  <c r="L40" i="5" s="1"/>
  <c r="N33" i="4"/>
  <c r="E26" i="7"/>
  <c r="L39" i="5" s="1"/>
  <c r="E28" i="7"/>
  <c r="L41" i="5" s="1"/>
  <c r="Q54" i="4"/>
  <c r="N51" i="4"/>
  <c r="E29" i="7"/>
  <c r="L42" i="5" s="1"/>
  <c r="C14" i="5" l="1"/>
  <c r="E18" i="5"/>
  <c r="E19" i="5" s="1"/>
  <c r="K54" i="5"/>
  <c r="S42" i="5"/>
  <c r="T42" i="5" s="1"/>
  <c r="J42" i="5" s="1"/>
  <c r="K42" i="5" s="1"/>
  <c r="N42" i="5" s="1"/>
  <c r="F48" i="4" s="1"/>
  <c r="B67" i="5"/>
  <c r="F29" i="5"/>
  <c r="F26" i="5"/>
  <c r="F31" i="5"/>
  <c r="F27" i="5"/>
  <c r="G17" i="5"/>
  <c r="F30" i="5"/>
  <c r="F28" i="5"/>
  <c r="K55" i="5"/>
  <c r="S43" i="5"/>
  <c r="T43" i="5" s="1"/>
  <c r="J43" i="5" s="1"/>
  <c r="K43" i="5" s="1"/>
  <c r="N43" i="5" s="1"/>
  <c r="F49" i="4" s="1"/>
  <c r="K52" i="5"/>
  <c r="S40" i="5"/>
  <c r="T40" i="5" s="1"/>
  <c r="J40" i="5" s="1"/>
  <c r="K40" i="5" s="1"/>
  <c r="N40" i="5" s="1"/>
  <c r="K51" i="5"/>
  <c r="S39" i="5"/>
  <c r="T39" i="5" s="1"/>
  <c r="J39" i="5" s="1"/>
  <c r="K39" i="5" s="1"/>
  <c r="K53" i="5"/>
  <c r="S41" i="5"/>
  <c r="T41" i="5" s="1"/>
  <c r="J41" i="5" s="1"/>
  <c r="K41" i="5" s="1"/>
  <c r="N41" i="5" s="1"/>
  <c r="F47" i="4" s="1"/>
  <c r="K50" i="5"/>
  <c r="S38" i="5"/>
  <c r="T38" i="5" s="1"/>
  <c r="J38" i="5" s="1"/>
  <c r="K38" i="5" s="1"/>
  <c r="N38" i="5" s="1"/>
  <c r="O38" i="5" s="1"/>
  <c r="N39" i="5" l="1"/>
  <c r="O39" i="5" s="1"/>
  <c r="L53" i="5"/>
  <c r="M53" i="5" s="1"/>
  <c r="S53" i="5" s="1"/>
  <c r="T53" i="5" s="1"/>
  <c r="I53" i="5" s="1"/>
  <c r="J53" i="5" s="1"/>
  <c r="O53" i="5" s="1"/>
  <c r="L52" i="5"/>
  <c r="M52" i="5" s="1"/>
  <c r="S52" i="5" s="1"/>
  <c r="T52" i="5" s="1"/>
  <c r="I52" i="5" s="1"/>
  <c r="J52" i="5" s="1"/>
  <c r="O52" i="5" s="1"/>
  <c r="L50" i="5"/>
  <c r="M50" i="5" s="1"/>
  <c r="S50" i="5" s="1"/>
  <c r="T50" i="5" s="1"/>
  <c r="I50" i="5" s="1"/>
  <c r="J50" i="5" s="1"/>
  <c r="O50" i="5" s="1"/>
  <c r="O43" i="5"/>
  <c r="F13" i="4"/>
  <c r="L55" i="5"/>
  <c r="M55" i="5" s="1"/>
  <c r="S55" i="5" s="1"/>
  <c r="T55" i="5" s="1"/>
  <c r="I55" i="5" s="1"/>
  <c r="J55" i="5" s="1"/>
  <c r="O55" i="5" s="1"/>
  <c r="O42" i="5"/>
  <c r="F12" i="4"/>
  <c r="L54" i="5"/>
  <c r="M54" i="5" s="1"/>
  <c r="S54" i="5" s="1"/>
  <c r="T54" i="5" s="1"/>
  <c r="I54" i="5" s="1"/>
  <c r="J54" i="5" s="1"/>
  <c r="O54" i="5" s="1"/>
  <c r="O41" i="5"/>
  <c r="F11" i="4"/>
  <c r="F18" i="5"/>
  <c r="F19" i="5" s="1"/>
  <c r="L61" i="5"/>
  <c r="I61" i="5" s="1"/>
  <c r="L62" i="5"/>
  <c r="I62" i="5" s="1"/>
  <c r="L63" i="5"/>
  <c r="I63" i="5" s="1"/>
  <c r="L51" i="5"/>
  <c r="M51" i="5" s="1"/>
  <c r="S51" i="5" s="1"/>
  <c r="T51" i="5" s="1"/>
  <c r="I51" i="5" s="1"/>
  <c r="J51" i="5" s="1"/>
  <c r="O51" i="5" s="1"/>
  <c r="G28" i="5"/>
  <c r="G29" i="5"/>
  <c r="G31" i="5"/>
  <c r="G27" i="5"/>
  <c r="G30" i="5"/>
  <c r="H17" i="5"/>
  <c r="G26" i="5"/>
  <c r="F8" i="4"/>
  <c r="F44" i="4"/>
  <c r="O40" i="5"/>
  <c r="F10" i="4"/>
  <c r="F46" i="4"/>
  <c r="E14" i="5"/>
  <c r="N44" i="5" l="1"/>
  <c r="F9" i="4"/>
  <c r="G9" i="4" s="1"/>
  <c r="F45" i="4"/>
  <c r="F14" i="5"/>
  <c r="O56" i="5"/>
  <c r="G61" i="5" s="1"/>
  <c r="C48" i="2" s="1"/>
  <c r="F67" i="4"/>
  <c r="G13" i="4"/>
  <c r="G49" i="4" s="1"/>
  <c r="F31" i="4"/>
  <c r="H13" i="4"/>
  <c r="H49" i="4" s="1"/>
  <c r="I13" i="4"/>
  <c r="I49" i="4" s="1"/>
  <c r="F66" i="4"/>
  <c r="F30" i="4"/>
  <c r="I12" i="4"/>
  <c r="I48" i="4" s="1"/>
  <c r="G12" i="4"/>
  <c r="G48" i="4" s="1"/>
  <c r="H12" i="4"/>
  <c r="F29" i="4"/>
  <c r="F65" i="4"/>
  <c r="H11" i="4"/>
  <c r="G11" i="4"/>
  <c r="G47" i="4" s="1"/>
  <c r="I11" i="4"/>
  <c r="I47" i="4" s="1"/>
  <c r="G18" i="5"/>
  <c r="F64" i="4"/>
  <c r="I10" i="4"/>
  <c r="I46" i="4" s="1"/>
  <c r="F28" i="4"/>
  <c r="H10" i="4"/>
  <c r="H46" i="4" s="1"/>
  <c r="G10" i="4"/>
  <c r="G46" i="4" s="1"/>
  <c r="F62" i="4"/>
  <c r="F26" i="4"/>
  <c r="H8" i="4"/>
  <c r="J8" i="4" s="1"/>
  <c r="J44" i="4" s="1"/>
  <c r="G8" i="4"/>
  <c r="G44" i="4" s="1"/>
  <c r="I8" i="4"/>
  <c r="O44" i="5"/>
  <c r="H31" i="5"/>
  <c r="H29" i="5"/>
  <c r="H26" i="5"/>
  <c r="H27" i="5"/>
  <c r="I17" i="5"/>
  <c r="H28" i="5"/>
  <c r="H30" i="5"/>
  <c r="J12" i="4" l="1"/>
  <c r="J48" i="4" s="1"/>
  <c r="H48" i="4"/>
  <c r="G19" i="5"/>
  <c r="I9" i="4"/>
  <c r="I63" i="4" s="1"/>
  <c r="H9" i="4"/>
  <c r="J9" i="4" s="1"/>
  <c r="J45" i="4" s="1"/>
  <c r="F27" i="4"/>
  <c r="F63" i="4"/>
  <c r="G45" i="4"/>
  <c r="J11" i="4"/>
  <c r="J47" i="4" s="1"/>
  <c r="H47" i="4"/>
  <c r="Q4" i="8"/>
  <c r="J10" i="4"/>
  <c r="J46" i="4" s="1"/>
  <c r="I67" i="4"/>
  <c r="I31" i="4"/>
  <c r="H31" i="4"/>
  <c r="H67" i="4"/>
  <c r="J13" i="4"/>
  <c r="J49" i="4" s="1"/>
  <c r="G31" i="4"/>
  <c r="G67" i="4"/>
  <c r="G66" i="4"/>
  <c r="G30" i="4"/>
  <c r="H66" i="4"/>
  <c r="H30" i="4"/>
  <c r="I66" i="4"/>
  <c r="I30" i="4"/>
  <c r="I65" i="4"/>
  <c r="I29" i="4"/>
  <c r="G65" i="4"/>
  <c r="G29" i="4"/>
  <c r="H65" i="4"/>
  <c r="H29" i="4"/>
  <c r="H18" i="5"/>
  <c r="H19" i="5" s="1"/>
  <c r="P4" i="8"/>
  <c r="H16" i="4"/>
  <c r="H70" i="4" s="1"/>
  <c r="H44" i="4"/>
  <c r="I62" i="4"/>
  <c r="I26" i="4"/>
  <c r="G28" i="4"/>
  <c r="G64" i="4"/>
  <c r="J62" i="4"/>
  <c r="J26" i="4"/>
  <c r="H64" i="4"/>
  <c r="H28" i="4"/>
  <c r="I30" i="5"/>
  <c r="J17" i="5"/>
  <c r="I28" i="5"/>
  <c r="I31" i="5"/>
  <c r="I26" i="5"/>
  <c r="I29" i="5"/>
  <c r="I27" i="5"/>
  <c r="G62" i="4"/>
  <c r="G26" i="4"/>
  <c r="I44" i="4"/>
  <c r="G63" i="4"/>
  <c r="G27" i="4"/>
  <c r="H62" i="4"/>
  <c r="H26" i="4"/>
  <c r="I64" i="4"/>
  <c r="I28" i="4"/>
  <c r="S67" i="8" l="1"/>
  <c r="O67" i="8"/>
  <c r="S56" i="8"/>
  <c r="X45" i="8"/>
  <c r="S34" i="8"/>
  <c r="K45" i="8"/>
  <c r="K67" i="8"/>
  <c r="O56" i="8"/>
  <c r="S45" i="8"/>
  <c r="O34" i="8"/>
  <c r="X67" i="8"/>
  <c r="X56" i="8"/>
  <c r="X34" i="8"/>
  <c r="K56" i="8"/>
  <c r="O45" i="8"/>
  <c r="K34" i="8"/>
  <c r="J66" i="4"/>
  <c r="J30" i="4"/>
  <c r="O23" i="8"/>
  <c r="X23" i="8"/>
  <c r="S23" i="8"/>
  <c r="K23" i="8"/>
  <c r="G14" i="5"/>
  <c r="H27" i="4"/>
  <c r="I27" i="4"/>
  <c r="I45" i="4"/>
  <c r="H45" i="4"/>
  <c r="H63" i="4"/>
  <c r="J29" i="4"/>
  <c r="J65" i="4"/>
  <c r="J63" i="4"/>
  <c r="X12" i="8"/>
  <c r="S12" i="8"/>
  <c r="N1" i="8"/>
  <c r="O12" i="8"/>
  <c r="K12" i="8"/>
  <c r="H14" i="5"/>
  <c r="J27" i="4"/>
  <c r="L46" i="4"/>
  <c r="Q44" i="4" s="1"/>
  <c r="Q36" i="2" s="1"/>
  <c r="J64" i="4"/>
  <c r="L10" i="4"/>
  <c r="Q8" i="4" s="1"/>
  <c r="G36" i="2" s="1"/>
  <c r="J28" i="4"/>
  <c r="J67" i="4"/>
  <c r="J31" i="4"/>
  <c r="H37" i="4"/>
  <c r="F37" i="4" s="1"/>
  <c r="F16" i="4"/>
  <c r="H52" i="4"/>
  <c r="J52" i="4" s="1"/>
  <c r="K52" i="4" s="1"/>
  <c r="I18" i="5"/>
  <c r="H19" i="4"/>
  <c r="F19" i="4" s="1"/>
  <c r="J16" i="4"/>
  <c r="L16" i="4"/>
  <c r="H34" i="4"/>
  <c r="M34" i="4" s="1"/>
  <c r="M16" i="4"/>
  <c r="J30" i="5"/>
  <c r="K17" i="5"/>
  <c r="J28" i="5"/>
  <c r="J27" i="5"/>
  <c r="J26" i="5"/>
  <c r="J29" i="5"/>
  <c r="J31" i="5"/>
  <c r="L70" i="4"/>
  <c r="J70" i="4"/>
  <c r="K70" i="4" s="1"/>
  <c r="M70" i="4"/>
  <c r="F70" i="4"/>
  <c r="I19" i="5" l="1"/>
  <c r="K16" i="4"/>
  <c r="J17" i="4"/>
  <c r="L64" i="4"/>
  <c r="Q62" i="4" s="1"/>
  <c r="X36" i="2" s="1"/>
  <c r="L28" i="4"/>
  <c r="Q26" i="4" s="1"/>
  <c r="L36" i="2" s="1"/>
  <c r="L52" i="4"/>
  <c r="N52" i="4" s="1"/>
  <c r="Q51" i="4" s="1"/>
  <c r="F52" i="4"/>
  <c r="M52" i="4"/>
  <c r="N16" i="4"/>
  <c r="J37" i="4"/>
  <c r="Q36" i="4" s="1"/>
  <c r="L40" i="2" s="1"/>
  <c r="J19" i="4"/>
  <c r="Q18" i="4" s="1"/>
  <c r="G40" i="2" s="1"/>
  <c r="H72" i="4"/>
  <c r="F72" i="4" s="1"/>
  <c r="J18" i="5"/>
  <c r="J19" i="5" s="1"/>
  <c r="J14" i="5" s="1"/>
  <c r="L34" i="4"/>
  <c r="F34" i="4"/>
  <c r="J34" i="4"/>
  <c r="N70" i="4"/>
  <c r="Q69" i="4" s="1"/>
  <c r="X38" i="2" s="1"/>
  <c r="K26" i="5"/>
  <c r="K28" i="5"/>
  <c r="K29" i="5"/>
  <c r="K27" i="5"/>
  <c r="K30" i="5"/>
  <c r="K31" i="5"/>
  <c r="L17" i="5"/>
  <c r="I14" i="5" l="1"/>
  <c r="K17" i="4"/>
  <c r="N17" i="4"/>
  <c r="Q15" i="4" s="1"/>
  <c r="K34" i="4"/>
  <c r="J35" i="4"/>
  <c r="J72" i="4"/>
  <c r="Q71" i="4" s="1"/>
  <c r="X40" i="2" s="1"/>
  <c r="N34" i="4"/>
  <c r="K18" i="5"/>
  <c r="K19" i="5" s="1"/>
  <c r="K14" i="5" s="1"/>
  <c r="L30" i="5"/>
  <c r="M17" i="5"/>
  <c r="L27" i="5"/>
  <c r="L31" i="5"/>
  <c r="L26" i="5"/>
  <c r="L28" i="5"/>
  <c r="L29" i="5"/>
  <c r="Q38" i="2"/>
  <c r="L56" i="4"/>
  <c r="Q42" i="2" s="1"/>
  <c r="G38" i="2" l="1"/>
  <c r="L20" i="4"/>
  <c r="G42" i="2" s="1"/>
  <c r="K35" i="4"/>
  <c r="N35" i="4"/>
  <c r="Q33" i="4" s="1"/>
  <c r="L73" i="4"/>
  <c r="X42" i="2" s="1"/>
  <c r="L18" i="5"/>
  <c r="L19" i="5" s="1"/>
  <c r="L14" i="5" s="1"/>
  <c r="M26" i="5"/>
  <c r="M31" i="5"/>
  <c r="M29" i="5"/>
  <c r="M27" i="5"/>
  <c r="M28" i="5"/>
  <c r="N17" i="5"/>
  <c r="M30" i="5"/>
  <c r="L38" i="2" l="1"/>
  <c r="L38" i="4"/>
  <c r="L42" i="2" s="1"/>
  <c r="M18" i="5"/>
  <c r="M19" i="5" s="1"/>
  <c r="M14" i="5" s="1"/>
  <c r="N31" i="5"/>
  <c r="N29" i="5"/>
  <c r="N26" i="5"/>
  <c r="N27" i="5"/>
  <c r="N28" i="5"/>
  <c r="N30" i="5"/>
  <c r="Q75" i="4" l="1"/>
  <c r="Q77" i="4" s="1"/>
  <c r="AG44" i="2" s="1"/>
  <c r="N18" i="5"/>
  <c r="K32" i="5" l="1"/>
  <c r="P6" i="8"/>
  <c r="AG42" i="2"/>
  <c r="M32" i="5"/>
  <c r="F32" i="5"/>
  <c r="N32" i="5"/>
  <c r="D32" i="5"/>
  <c r="G32" i="5"/>
  <c r="I32" i="5"/>
  <c r="N19" i="5"/>
  <c r="J32" i="5"/>
  <c r="H32" i="5"/>
  <c r="L32" i="5"/>
  <c r="C32" i="5"/>
  <c r="E32" i="5"/>
  <c r="B28" i="8" l="1"/>
  <c r="N14" i="5"/>
  <c r="B39" i="8" s="1"/>
  <c r="B41" i="8" s="1"/>
  <c r="B72" i="8" l="1"/>
  <c r="B74" i="8" s="1"/>
  <c r="G76" i="8" s="1"/>
  <c r="G43" i="8"/>
  <c r="U43" i="8"/>
  <c r="N43" i="8"/>
  <c r="J43" i="8"/>
  <c r="R43" i="8"/>
  <c r="V43" i="8"/>
  <c r="I43" i="8"/>
  <c r="W43" i="8"/>
  <c r="L43" i="8"/>
  <c r="E42" i="8"/>
  <c r="B61" i="8"/>
  <c r="B63" i="8" s="1"/>
  <c r="F59" i="8"/>
  <c r="E41" i="8"/>
  <c r="F41" i="8"/>
  <c r="E64" i="8"/>
  <c r="E39" i="8"/>
  <c r="E50" i="8"/>
  <c r="F49" i="8"/>
  <c r="B59" i="8"/>
  <c r="E48" i="8"/>
  <c r="E71" i="8"/>
  <c r="F40" i="8"/>
  <c r="E60" i="8"/>
  <c r="E40" i="8"/>
  <c r="F71" i="8"/>
  <c r="F64" i="8"/>
  <c r="F60" i="8"/>
  <c r="E51" i="8"/>
  <c r="E37" i="8"/>
  <c r="E63" i="8"/>
  <c r="E59" i="8"/>
  <c r="F63" i="8"/>
  <c r="E72" i="8"/>
  <c r="F73" i="8"/>
  <c r="E73" i="8"/>
  <c r="E52" i="8"/>
  <c r="E61" i="8"/>
  <c r="F72" i="8"/>
  <c r="F37" i="8"/>
  <c r="F39" i="8"/>
  <c r="F48" i="8"/>
  <c r="F75" i="8"/>
  <c r="E75" i="8"/>
  <c r="E62" i="8"/>
  <c r="F51" i="8"/>
  <c r="F42" i="8"/>
  <c r="B48" i="8"/>
  <c r="F52" i="8"/>
  <c r="F74" i="8"/>
  <c r="F61" i="8"/>
  <c r="B37" i="8"/>
  <c r="B70" i="8"/>
  <c r="F53" i="8"/>
  <c r="E74" i="8"/>
  <c r="E53" i="8"/>
  <c r="F38" i="8"/>
  <c r="F50" i="8"/>
  <c r="E38" i="8"/>
  <c r="F70" i="8"/>
  <c r="E70" i="8"/>
  <c r="E49" i="8"/>
  <c r="F62" i="8"/>
  <c r="B50" i="8"/>
  <c r="B52" i="8" s="1"/>
  <c r="E31" i="8"/>
  <c r="F26" i="8"/>
  <c r="F31" i="8"/>
  <c r="E29" i="8"/>
  <c r="E26" i="8"/>
  <c r="F27" i="8"/>
  <c r="E27" i="8"/>
  <c r="F28" i="8"/>
  <c r="B26" i="8"/>
  <c r="B30" i="8" s="1"/>
  <c r="E28" i="8"/>
  <c r="E30" i="8"/>
  <c r="F29" i="8"/>
  <c r="F30" i="8"/>
  <c r="B17" i="8"/>
  <c r="F17" i="8"/>
  <c r="X17" i="8" s="1"/>
  <c r="E15" i="8"/>
  <c r="F20" i="8"/>
  <c r="F19" i="8"/>
  <c r="E20" i="8"/>
  <c r="F15" i="8"/>
  <c r="X15" i="8" s="1"/>
  <c r="E18" i="8"/>
  <c r="B15" i="8"/>
  <c r="E17" i="8"/>
  <c r="F16" i="8"/>
  <c r="X16" i="8" s="1"/>
  <c r="E16" i="8"/>
  <c r="E19" i="8"/>
  <c r="F18" i="8"/>
  <c r="L76" i="8" l="1"/>
  <c r="M76" i="8"/>
  <c r="Q76" i="8"/>
  <c r="I76" i="8"/>
  <c r="V76" i="8"/>
  <c r="U76" i="8"/>
  <c r="J76" i="8"/>
  <c r="W76" i="8"/>
  <c r="N76" i="8"/>
  <c r="J63" i="8"/>
  <c r="R63" i="8"/>
  <c r="R65" i="8" s="1"/>
  <c r="X63" i="8"/>
  <c r="N63" i="8"/>
  <c r="U63" i="8"/>
  <c r="G63" i="8"/>
  <c r="N62" i="8"/>
  <c r="R62" i="8"/>
  <c r="J62" i="8"/>
  <c r="X62" i="8"/>
  <c r="U62" i="8"/>
  <c r="G62" i="8"/>
  <c r="G42" i="8"/>
  <c r="N42" i="8"/>
  <c r="R42" i="8"/>
  <c r="J42" i="8"/>
  <c r="X42" i="8"/>
  <c r="U42" i="8"/>
  <c r="R72" i="8"/>
  <c r="R76" i="8" s="1"/>
  <c r="N72" i="8"/>
  <c r="X72" i="8"/>
  <c r="X76" i="8" s="1"/>
  <c r="J72" i="8"/>
  <c r="G72" i="8"/>
  <c r="U72" i="8"/>
  <c r="J40" i="8"/>
  <c r="U40" i="8"/>
  <c r="R40" i="8"/>
  <c r="N40" i="8"/>
  <c r="G40" i="8"/>
  <c r="X40" i="8"/>
  <c r="G41" i="8"/>
  <c r="N41" i="8"/>
  <c r="R41" i="8"/>
  <c r="J41" i="8"/>
  <c r="U41" i="8"/>
  <c r="X41" i="8"/>
  <c r="J53" i="8"/>
  <c r="R53" i="8"/>
  <c r="N53" i="8"/>
  <c r="U53" i="8"/>
  <c r="X53" i="8"/>
  <c r="G53" i="8"/>
  <c r="N51" i="8"/>
  <c r="U51" i="8"/>
  <c r="R51" i="8"/>
  <c r="G51" i="8"/>
  <c r="J51" i="8"/>
  <c r="X51" i="8"/>
  <c r="N59" i="8"/>
  <c r="P61" i="8" s="1"/>
  <c r="P65" i="8" s="1"/>
  <c r="G59" i="8"/>
  <c r="R59" i="8"/>
  <c r="T61" i="8" s="1"/>
  <c r="T65" i="8" s="1"/>
  <c r="O61" i="8"/>
  <c r="X59" i="8"/>
  <c r="S61" i="8"/>
  <c r="S65" i="8" s="1"/>
  <c r="U59" i="8"/>
  <c r="K61" i="8"/>
  <c r="K65" i="8" s="1"/>
  <c r="J59" i="8"/>
  <c r="L61" i="8" s="1"/>
  <c r="J70" i="8"/>
  <c r="L72" i="8" s="1"/>
  <c r="S72" i="8"/>
  <c r="S76" i="8" s="1"/>
  <c r="G70" i="8"/>
  <c r="U70" i="8"/>
  <c r="R70" i="8"/>
  <c r="T72" i="8" s="1"/>
  <c r="T76" i="8" s="1"/>
  <c r="O72" i="8"/>
  <c r="O76" i="8" s="1"/>
  <c r="N70" i="8"/>
  <c r="P72" i="8" s="1"/>
  <c r="P76" i="8" s="1"/>
  <c r="K72" i="8"/>
  <c r="K76" i="8" s="1"/>
  <c r="X70" i="8"/>
  <c r="Y72" i="8" s="1"/>
  <c r="Y76" i="8" s="1"/>
  <c r="G60" i="8"/>
  <c r="U60" i="8"/>
  <c r="J60" i="8"/>
  <c r="X60" i="8"/>
  <c r="R60" i="8"/>
  <c r="N60" i="8"/>
  <c r="N65" i="8" s="1"/>
  <c r="G65" i="8"/>
  <c r="O65" i="8"/>
  <c r="J65" i="8"/>
  <c r="M65" i="8"/>
  <c r="V65" i="8"/>
  <c r="L65" i="8"/>
  <c r="W65" i="8"/>
  <c r="N61" i="8"/>
  <c r="J61" i="8"/>
  <c r="G61" i="8"/>
  <c r="U61" i="8" s="1"/>
  <c r="R61" i="8"/>
  <c r="X61" i="8"/>
  <c r="G75" i="8"/>
  <c r="U75" i="8"/>
  <c r="J75" i="8"/>
  <c r="N75" i="8"/>
  <c r="X75" i="8"/>
  <c r="R75" i="8"/>
  <c r="J73" i="8"/>
  <c r="N73" i="8"/>
  <c r="G73" i="8"/>
  <c r="R73" i="8"/>
  <c r="X73" i="8"/>
  <c r="U73" i="8"/>
  <c r="J64" i="8"/>
  <c r="U64" i="8"/>
  <c r="R64" i="8"/>
  <c r="N64" i="8"/>
  <c r="X64" i="8"/>
  <c r="G64" i="8"/>
  <c r="G49" i="8"/>
  <c r="U49" i="8" s="1"/>
  <c r="N49" i="8"/>
  <c r="X49" i="8"/>
  <c r="J49" i="8"/>
  <c r="R49" i="8"/>
  <c r="N50" i="8"/>
  <c r="R50" i="8"/>
  <c r="G50" i="8"/>
  <c r="J50" i="8"/>
  <c r="U50" i="8"/>
  <c r="X50" i="8"/>
  <c r="G74" i="8"/>
  <c r="N74" i="8"/>
  <c r="J74" i="8"/>
  <c r="X74" i="8"/>
  <c r="R74" i="8"/>
  <c r="U74" i="8"/>
  <c r="N48" i="8"/>
  <c r="P50" i="8" s="1"/>
  <c r="P54" i="8" s="1"/>
  <c r="O50" i="8"/>
  <c r="U48" i="8"/>
  <c r="G48" i="8"/>
  <c r="J48" i="8"/>
  <c r="K50" i="8"/>
  <c r="K54" i="8" s="1"/>
  <c r="R48" i="8"/>
  <c r="T50" i="8" s="1"/>
  <c r="T54" i="8" s="1"/>
  <c r="X48" i="8"/>
  <c r="Y50" i="8" s="1"/>
  <c r="Y54" i="8" s="1"/>
  <c r="S50" i="8"/>
  <c r="N71" i="8"/>
  <c r="R71" i="8"/>
  <c r="X71" i="8"/>
  <c r="G71" i="8"/>
  <c r="U71" i="8" s="1"/>
  <c r="J71" i="8"/>
  <c r="J52" i="8"/>
  <c r="R52" i="8"/>
  <c r="N52" i="8"/>
  <c r="U52" i="8"/>
  <c r="X52" i="8"/>
  <c r="G52" i="8"/>
  <c r="J39" i="8"/>
  <c r="R39" i="8"/>
  <c r="N39" i="8"/>
  <c r="G39" i="8"/>
  <c r="U39" i="8" s="1"/>
  <c r="X39" i="8"/>
  <c r="X43" i="8" s="1"/>
  <c r="R38" i="8"/>
  <c r="G38" i="8"/>
  <c r="U38" i="8" s="1"/>
  <c r="N38" i="8"/>
  <c r="X38" i="8"/>
  <c r="J38" i="8"/>
  <c r="S54" i="8"/>
  <c r="G54" i="8"/>
  <c r="O54" i="8"/>
  <c r="N54" i="8"/>
  <c r="U54" i="8"/>
  <c r="X54" i="8"/>
  <c r="V54" i="8"/>
  <c r="R54" i="8"/>
  <c r="M54" i="8"/>
  <c r="I54" i="8"/>
  <c r="L54" i="8"/>
  <c r="G37" i="8"/>
  <c r="K39" i="8"/>
  <c r="K43" i="8" s="1"/>
  <c r="S39" i="8"/>
  <c r="S43" i="8" s="1"/>
  <c r="X37" i="8"/>
  <c r="Y39" i="8" s="1"/>
  <c r="Y43" i="8" s="1"/>
  <c r="R37" i="8"/>
  <c r="T39" i="8" s="1"/>
  <c r="T43" i="8" s="1"/>
  <c r="U37" i="8"/>
  <c r="V39" i="8" s="1"/>
  <c r="W39" i="8" s="1"/>
  <c r="N37" i="8"/>
  <c r="P39" i="8" s="1"/>
  <c r="P43" i="8" s="1"/>
  <c r="J37" i="8"/>
  <c r="L39" i="8" s="1"/>
  <c r="O39" i="8"/>
  <c r="O43" i="8" s="1"/>
  <c r="G32" i="8"/>
  <c r="R27" i="8"/>
  <c r="X27" i="8"/>
  <c r="G27" i="8"/>
  <c r="U27" i="8" s="1"/>
  <c r="J27" i="8"/>
  <c r="N27" i="8"/>
  <c r="G28" i="8"/>
  <c r="U28" i="8" s="1"/>
  <c r="X28" i="8"/>
  <c r="R28" i="8"/>
  <c r="N28" i="8"/>
  <c r="J28" i="8"/>
  <c r="G30" i="8"/>
  <c r="U30" i="8" s="1"/>
  <c r="J30" i="8"/>
  <c r="N30" i="8"/>
  <c r="X30" i="8"/>
  <c r="R30" i="8"/>
  <c r="G31" i="8"/>
  <c r="U31" i="8" s="1"/>
  <c r="R31" i="8"/>
  <c r="N31" i="8"/>
  <c r="J31" i="8"/>
  <c r="X31" i="8"/>
  <c r="J29" i="8"/>
  <c r="G29" i="8"/>
  <c r="U29" i="8" s="1"/>
  <c r="X29" i="8"/>
  <c r="R29" i="8"/>
  <c r="N29" i="8"/>
  <c r="J26" i="8"/>
  <c r="X26" i="8"/>
  <c r="N26" i="8"/>
  <c r="K28" i="8"/>
  <c r="K32" i="8" s="1"/>
  <c r="S28" i="8"/>
  <c r="S32" i="8" s="1"/>
  <c r="G26" i="8"/>
  <c r="U26" i="8" s="1"/>
  <c r="O28" i="8"/>
  <c r="O32" i="8" s="1"/>
  <c r="R26" i="8"/>
  <c r="B19" i="8"/>
  <c r="G17" i="8"/>
  <c r="U17" i="8" s="1"/>
  <c r="R15" i="8"/>
  <c r="O17" i="8"/>
  <c r="J15" i="8"/>
  <c r="K17" i="8"/>
  <c r="N15" i="8"/>
  <c r="S17" i="8"/>
  <c r="X18" i="8"/>
  <c r="R18" i="8"/>
  <c r="J18" i="8"/>
  <c r="N18" i="8"/>
  <c r="N19" i="8"/>
  <c r="R19" i="8"/>
  <c r="J19" i="8"/>
  <c r="X19" i="8"/>
  <c r="R17" i="8"/>
  <c r="J17" i="8"/>
  <c r="N17" i="8"/>
  <c r="R20" i="8"/>
  <c r="J20" i="8"/>
  <c r="N20" i="8"/>
  <c r="X20" i="8"/>
  <c r="J16" i="8"/>
  <c r="N16" i="8"/>
  <c r="R16" i="8"/>
  <c r="G15" i="8"/>
  <c r="U19" i="8"/>
  <c r="G19" i="8"/>
  <c r="U18" i="8"/>
  <c r="G18" i="8"/>
  <c r="U20" i="8"/>
  <c r="G20" i="8"/>
  <c r="G16" i="8"/>
  <c r="H61" i="8" l="1"/>
  <c r="Z43" i="8"/>
  <c r="Z76" i="8"/>
  <c r="Z70" i="8"/>
  <c r="AA70" i="8" s="1"/>
  <c r="H39" i="8"/>
  <c r="I39" i="8" s="1"/>
  <c r="Q39" i="8"/>
  <c r="Q43" i="8" s="1"/>
  <c r="M39" i="8"/>
  <c r="M43" i="8" s="1"/>
  <c r="V50" i="8"/>
  <c r="W50" i="8" s="1"/>
  <c r="W54" i="8" s="1"/>
  <c r="V72" i="8"/>
  <c r="W72" i="8" s="1"/>
  <c r="I61" i="8"/>
  <c r="I65" i="8" s="1"/>
  <c r="Q61" i="8"/>
  <c r="Q65" i="8" s="1"/>
  <c r="U65" i="8"/>
  <c r="V61" i="8"/>
  <c r="W61" i="8" s="1"/>
  <c r="M61" i="8"/>
  <c r="X65" i="8"/>
  <c r="Y61" i="8"/>
  <c r="Y65" i="8" s="1"/>
  <c r="Z65" i="8" s="1"/>
  <c r="J54" i="8"/>
  <c r="L50" i="8"/>
  <c r="Z48" i="8" s="1"/>
  <c r="AA48" i="8" s="1"/>
  <c r="H72" i="8"/>
  <c r="I72" i="8" s="1"/>
  <c r="M72" i="8"/>
  <c r="Q72" i="8"/>
  <c r="H50" i="8"/>
  <c r="M50" i="8" s="1"/>
  <c r="Q50" i="8"/>
  <c r="Q54" i="8" s="1"/>
  <c r="I50" i="8"/>
  <c r="Z37" i="8"/>
  <c r="AA37" i="8" s="1"/>
  <c r="Z54" i="8"/>
  <c r="D4" i="8"/>
  <c r="N32" i="8"/>
  <c r="V28" i="8"/>
  <c r="W28" i="8" s="1"/>
  <c r="W32" i="8" s="1"/>
  <c r="J32" i="8"/>
  <c r="X32" i="8"/>
  <c r="U32" i="8"/>
  <c r="R32" i="8"/>
  <c r="H28" i="8"/>
  <c r="M28" i="8" s="1"/>
  <c r="M32" i="8" s="1"/>
  <c r="J21" i="8"/>
  <c r="R21" i="8"/>
  <c r="K21" i="8"/>
  <c r="F8" i="8" s="1"/>
  <c r="S21" i="8"/>
  <c r="G21" i="8"/>
  <c r="X21" i="8"/>
  <c r="N21" i="8"/>
  <c r="O21" i="8"/>
  <c r="U15" i="8"/>
  <c r="U16" i="8"/>
  <c r="H17" i="8"/>
  <c r="M17" i="8" s="1"/>
  <c r="M21" i="8" s="1"/>
  <c r="Z59" i="8" l="1"/>
  <c r="AA59" i="8" s="1"/>
  <c r="J8" i="8"/>
  <c r="H8" i="8"/>
  <c r="H7" i="8"/>
  <c r="F7" i="8"/>
  <c r="V32" i="8"/>
  <c r="I28" i="8"/>
  <c r="I32" i="8" s="1"/>
  <c r="L7" i="8"/>
  <c r="Q28" i="8"/>
  <c r="Q32" i="8" s="1"/>
  <c r="Y28" i="8"/>
  <c r="Y32" i="8" s="1"/>
  <c r="P28" i="8"/>
  <c r="P32" i="8" s="1"/>
  <c r="J7" i="8"/>
  <c r="U21" i="8"/>
  <c r="I17" i="8"/>
  <c r="I21" i="8" s="1"/>
  <c r="P17" i="8"/>
  <c r="P21" i="8" s="1"/>
  <c r="V17" i="8"/>
  <c r="Q17" i="8"/>
  <c r="Q21" i="8" s="1"/>
  <c r="H6" i="8" l="1"/>
  <c r="H9" i="8" s="1"/>
  <c r="T28" i="8"/>
  <c r="T32" i="8" s="1"/>
  <c r="L28" i="8"/>
  <c r="L32" i="8" s="1"/>
  <c r="F6" i="8"/>
  <c r="F9" i="8" s="1"/>
  <c r="W17" i="8"/>
  <c r="W21" i="8" s="1"/>
  <c r="V21" i="8"/>
  <c r="T17" i="8"/>
  <c r="T21" i="8" s="1"/>
  <c r="L17" i="8"/>
  <c r="L21" i="8" s="1"/>
  <c r="Z32" i="8" l="1"/>
  <c r="Z26" i="8"/>
  <c r="AA26" i="8" s="1"/>
  <c r="J6" i="8"/>
  <c r="J9" i="8" s="1"/>
  <c r="L6" i="8"/>
  <c r="L9" i="8" s="1"/>
  <c r="Y17" i="8"/>
  <c r="Y21" i="8" s="1"/>
  <c r="Z21" i="8" s="1"/>
  <c r="L3" i="8" l="1"/>
  <c r="L4" i="8" s="1"/>
  <c r="Z15" i="8"/>
  <c r="AA15" i="8" s="1"/>
</calcChain>
</file>

<file path=xl/sharedStrings.xml><?xml version="1.0" encoding="utf-8"?>
<sst xmlns="http://schemas.openxmlformats.org/spreadsheetml/2006/main" count="756" uniqueCount="279">
  <si>
    <t>加入予定年月</t>
    <rPh sb="0" eb="2">
      <t>カニュウ</t>
    </rPh>
    <rPh sb="2" eb="4">
      <t>ヨテイ</t>
    </rPh>
    <rPh sb="4" eb="6">
      <t>ネンゲツ</t>
    </rPh>
    <phoneticPr fontId="5"/>
  </si>
  <si>
    <t>令和８年</t>
  </si>
  <si>
    <t>月</t>
    <rPh sb="0" eb="1">
      <t>ガツ</t>
    </rPh>
    <phoneticPr fontId="5"/>
  </si>
  <si>
    <t>※源泉徴収票、確定申告書等の見方はこちら</t>
    <rPh sb="1" eb="6">
      <t>ゲンセンチョウシュウヒョウ</t>
    </rPh>
    <rPh sb="7" eb="11">
      <t>カクテイシンコク</t>
    </rPh>
    <rPh sb="11" eb="13">
      <t>ショトウ</t>
    </rPh>
    <rPh sb="14" eb="16">
      <t>ミカタ</t>
    </rPh>
    <phoneticPr fontId="5"/>
  </si>
  <si>
    <t>加入有無</t>
    <rPh sb="0" eb="2">
      <t>カニュウ</t>
    </rPh>
    <rPh sb="2" eb="4">
      <t>ウム</t>
    </rPh>
    <phoneticPr fontId="5"/>
  </si>
  <si>
    <t>生　年　月　日</t>
    <rPh sb="0" eb="1">
      <t>セイ</t>
    </rPh>
    <rPh sb="2" eb="3">
      <t>トシ</t>
    </rPh>
    <rPh sb="4" eb="5">
      <t>ツキ</t>
    </rPh>
    <rPh sb="6" eb="7">
      <t>ヒ</t>
    </rPh>
    <phoneticPr fontId="5"/>
  </si>
  <si>
    <t>給与収入</t>
    <rPh sb="0" eb="4">
      <t>キュウヨシュウニュウ</t>
    </rPh>
    <phoneticPr fontId="5"/>
  </si>
  <si>
    <t>年金収入</t>
    <rPh sb="0" eb="4">
      <t>ネンキンシュウニュウ</t>
    </rPh>
    <phoneticPr fontId="5"/>
  </si>
  <si>
    <t>その他所得</t>
    <rPh sb="2" eb="3">
      <t>タ</t>
    </rPh>
    <rPh sb="3" eb="5">
      <t>ショトク</t>
    </rPh>
    <phoneticPr fontId="5"/>
  </si>
  <si>
    <t>非自発的
失業者</t>
    <rPh sb="0" eb="4">
      <t>ヒジハツテキ</t>
    </rPh>
    <rPh sb="5" eb="8">
      <t>シツギョウシャ</t>
    </rPh>
    <rPh sb="7" eb="8">
      <t>シャ</t>
    </rPh>
    <phoneticPr fontId="5"/>
  </si>
  <si>
    <t>世帯主</t>
    <rPh sb="0" eb="3">
      <t>セタイヌシ</t>
    </rPh>
    <phoneticPr fontId="5"/>
  </si>
  <si>
    <t>昭和_</t>
  </si>
  <si>
    <t>年</t>
    <rPh sb="0" eb="1">
      <t>ネン</t>
    </rPh>
    <phoneticPr fontId="5"/>
  </si>
  <si>
    <t>日</t>
    <rPh sb="0" eb="1">
      <t>ニチ</t>
    </rPh>
    <phoneticPr fontId="5"/>
  </si>
  <si>
    <t>円</t>
    <rPh sb="0" eb="1">
      <t>エン</t>
    </rPh>
    <phoneticPr fontId="5"/>
  </si>
  <si>
    <t>　</t>
    <phoneticPr fontId="5"/>
  </si>
  <si>
    <t>↑世帯主のみ要選択</t>
    <rPh sb="1" eb="4">
      <t>セタイヌシ</t>
    </rPh>
    <rPh sb="6" eb="9">
      <t>ヨウセンタク</t>
    </rPh>
    <phoneticPr fontId="5"/>
  </si>
  <si>
    <t>加入者１</t>
    <rPh sb="0" eb="3">
      <t>カニュウシャ</t>
    </rPh>
    <phoneticPr fontId="5"/>
  </si>
  <si>
    <t>昭和</t>
  </si>
  <si>
    <t>加入者２</t>
    <rPh sb="0" eb="3">
      <t>カニュウシャ</t>
    </rPh>
    <phoneticPr fontId="5"/>
  </si>
  <si>
    <t>加入者３</t>
    <rPh sb="0" eb="3">
      <t>カニュウシャ</t>
    </rPh>
    <phoneticPr fontId="5"/>
  </si>
  <si>
    <t>加入者４</t>
    <rPh sb="0" eb="3">
      <t>カニュウシャ</t>
    </rPh>
    <phoneticPr fontId="5"/>
  </si>
  <si>
    <t>加入者５</t>
    <rPh sb="0" eb="3">
      <t>カニュウシャ</t>
    </rPh>
    <phoneticPr fontId="5"/>
  </si>
  <si>
    <t>課税区分</t>
    <rPh sb="0" eb="2">
      <t>カゼイ</t>
    </rPh>
    <rPh sb="2" eb="4">
      <t>クブン</t>
    </rPh>
    <phoneticPr fontId="5"/>
  </si>
  <si>
    <t>医療分</t>
    <rPh sb="0" eb="3">
      <t>イリョウブン</t>
    </rPh>
    <phoneticPr fontId="5"/>
  </si>
  <si>
    <t>後期支援分</t>
    <rPh sb="0" eb="5">
      <t>コウキシエンブン</t>
    </rPh>
    <phoneticPr fontId="5"/>
  </si>
  <si>
    <t>介護分</t>
    <rPh sb="0" eb="3">
      <t>カイゴブン</t>
    </rPh>
    <phoneticPr fontId="5"/>
  </si>
  <si>
    <t>子ども支援分</t>
    <rPh sb="0" eb="1">
      <t>コ</t>
    </rPh>
    <rPh sb="3" eb="5">
      <t>シエン</t>
    </rPh>
    <rPh sb="5" eb="6">
      <t>ブン</t>
    </rPh>
    <phoneticPr fontId="5"/>
  </si>
  <si>
    <t>所得割額</t>
    <rPh sb="0" eb="3">
      <t>ショトクワリ</t>
    </rPh>
    <rPh sb="3" eb="4">
      <t>ガク</t>
    </rPh>
    <phoneticPr fontId="5"/>
  </si>
  <si>
    <t>＋</t>
    <phoneticPr fontId="5"/>
  </si>
  <si>
    <t>均等割額</t>
    <rPh sb="0" eb="3">
      <t>キントウワ</t>
    </rPh>
    <rPh sb="3" eb="4">
      <t>ガク</t>
    </rPh>
    <phoneticPr fontId="5"/>
  </si>
  <si>
    <t>平等割額</t>
    <rPh sb="0" eb="3">
      <t>ビョウドウワリ</t>
    </rPh>
    <rPh sb="3" eb="4">
      <t>ガク</t>
    </rPh>
    <phoneticPr fontId="5"/>
  </si>
  <si>
    <t>＝</t>
    <phoneticPr fontId="5"/>
  </si>
  <si>
    <t>年間保険税</t>
    <rPh sb="0" eb="5">
      <t>ネンカンホケンゼイ</t>
    </rPh>
    <phoneticPr fontId="5"/>
  </si>
  <si>
    <t>介護分</t>
    <rPh sb="0" eb="2">
      <t>カイゴ</t>
    </rPh>
    <rPh sb="2" eb="3">
      <t>ブン</t>
    </rPh>
    <phoneticPr fontId="5"/>
  </si>
  <si>
    <t>合計額</t>
    <rPh sb="0" eb="3">
      <t>ゴウケイガク</t>
    </rPh>
    <phoneticPr fontId="5"/>
  </si>
  <si>
    <t>※100円未満の端数は課税区分ごとに切り捨て</t>
    <rPh sb="4" eb="5">
      <t>エン</t>
    </rPh>
    <rPh sb="5" eb="7">
      <t>ミマン</t>
    </rPh>
    <rPh sb="8" eb="10">
      <t>ハスウ</t>
    </rPh>
    <rPh sb="11" eb="13">
      <t>カゼイ</t>
    </rPh>
    <rPh sb="13" eb="15">
      <t>クブン</t>
    </rPh>
    <rPh sb="18" eb="19">
      <t>キ</t>
    </rPh>
    <rPh sb="20" eb="21">
      <t>ス</t>
    </rPh>
    <phoneticPr fontId="5"/>
  </si>
  <si>
    <t>（年間保険税／12か月）</t>
    <rPh sb="1" eb="6">
      <t>ネンカンホケンゼイ</t>
    </rPh>
    <phoneticPr fontId="5"/>
  </si>
  <si>
    <t>賦課限度額</t>
    <rPh sb="0" eb="5">
      <t>フカゲンドガク</t>
    </rPh>
    <phoneticPr fontId="5"/>
  </si>
  <si>
    <t>入力シートに戻る</t>
    <rPh sb="0" eb="2">
      <t>ニュウリョク</t>
    </rPh>
    <rPh sb="6" eb="7">
      <t>モド</t>
    </rPh>
    <phoneticPr fontId="5"/>
  </si>
  <si>
    <t>所得割</t>
    <rPh sb="0" eb="3">
      <t>ショトクワリ</t>
    </rPh>
    <phoneticPr fontId="5"/>
  </si>
  <si>
    <t>総所得金額等</t>
    <rPh sb="0" eb="6">
      <t>ソウショトクキンガクトウ</t>
    </rPh>
    <phoneticPr fontId="5"/>
  </si>
  <si>
    <t>※基礎控除額</t>
    <rPh sb="1" eb="3">
      <t>キソ</t>
    </rPh>
    <rPh sb="3" eb="6">
      <t>コウジョガク</t>
    </rPh>
    <phoneticPr fontId="5"/>
  </si>
  <si>
    <t>合計</t>
    <rPh sb="0" eb="2">
      <t>ゴウケイ</t>
    </rPh>
    <phoneticPr fontId="5"/>
  </si>
  <si>
    <t>所得割税率</t>
    <rPh sb="0" eb="3">
      <t>ショトクワリ</t>
    </rPh>
    <rPh sb="3" eb="5">
      <t>ゼイリツ</t>
    </rPh>
    <phoneticPr fontId="5"/>
  </si>
  <si>
    <t>…（ア）</t>
    <phoneticPr fontId="5"/>
  </si>
  <si>
    <t>均等割</t>
    <rPh sb="0" eb="3">
      <t>キントウワ</t>
    </rPh>
    <phoneticPr fontId="5"/>
  </si>
  <si>
    <t>１人につき</t>
    <rPh sb="1" eb="2">
      <t>ニン</t>
    </rPh>
    <phoneticPr fontId="5"/>
  </si>
  <si>
    <t>×</t>
    <phoneticPr fontId="5"/>
  </si>
  <si>
    <t>…（イ）</t>
    <phoneticPr fontId="5"/>
  </si>
  <si>
    <t>平等割</t>
    <rPh sb="0" eb="2">
      <t>ビョウドウ</t>
    </rPh>
    <rPh sb="2" eb="3">
      <t>ワリ</t>
    </rPh>
    <phoneticPr fontId="5"/>
  </si>
  <si>
    <t>１世帯につき</t>
    <rPh sb="1" eb="3">
      <t>セタイ</t>
    </rPh>
    <phoneticPr fontId="5"/>
  </si>
  <si>
    <t>…（ウ）</t>
    <phoneticPr fontId="5"/>
  </si>
  <si>
    <t>医療分の保険税　(ア)+(イ)+(ウ)</t>
    <rPh sb="0" eb="3">
      <t>イリョウブン</t>
    </rPh>
    <rPh sb="4" eb="7">
      <t>ホケンゼイ</t>
    </rPh>
    <phoneticPr fontId="5"/>
  </si>
  <si>
    <t>（100円未満切り捨て）</t>
    <rPh sb="4" eb="5">
      <t>エン</t>
    </rPh>
    <rPh sb="5" eb="7">
      <t>ミマン</t>
    </rPh>
    <rPh sb="7" eb="8">
      <t>キ</t>
    </rPh>
    <rPh sb="9" eb="10">
      <t>ス</t>
    </rPh>
    <phoneticPr fontId="5"/>
  </si>
  <si>
    <r>
      <t>…　</t>
    </r>
    <r>
      <rPr>
        <b/>
        <sz val="14"/>
        <color theme="1"/>
        <rFont val="BIZ UDゴシック"/>
        <family val="3"/>
        <charset val="128"/>
      </rPr>
      <t>①</t>
    </r>
    <phoneticPr fontId="5"/>
  </si>
  <si>
    <t>所得割</t>
  </si>
  <si>
    <t>総所得金額等</t>
  </si>
  <si>
    <t>※基礎控除額</t>
  </si>
  <si>
    <t>合計</t>
  </si>
  <si>
    <t>所得割税率</t>
  </si>
  <si>
    <t>世帯主</t>
  </si>
  <si>
    <t>…（ア）</t>
  </si>
  <si>
    <t>加入者１</t>
  </si>
  <si>
    <t>加入者２</t>
  </si>
  <si>
    <t>加入者３</t>
  </si>
  <si>
    <t>加入者４</t>
  </si>
  <si>
    <t>加入者５</t>
  </si>
  <si>
    <t>均等割</t>
  </si>
  <si>
    <t>１人につき</t>
  </si>
  <si>
    <t>×</t>
  </si>
  <si>
    <t>＝</t>
  </si>
  <si>
    <t>…（イ）</t>
  </si>
  <si>
    <t>平等割</t>
    <rPh sb="0" eb="2">
      <t>ビョウドウ</t>
    </rPh>
    <phoneticPr fontId="5"/>
  </si>
  <si>
    <t>１世帯につき</t>
  </si>
  <si>
    <t>…（ウ）</t>
  </si>
  <si>
    <t>後期支援分の保険税　(ア)+(イ)+(ウ)</t>
    <rPh sb="0" eb="2">
      <t>コウキ</t>
    </rPh>
    <rPh sb="2" eb="4">
      <t>シエン</t>
    </rPh>
    <phoneticPr fontId="5"/>
  </si>
  <si>
    <t>（100円未満切り捨て）</t>
  </si>
  <si>
    <r>
      <t>…　</t>
    </r>
    <r>
      <rPr>
        <b/>
        <sz val="14"/>
        <color theme="1"/>
        <rFont val="BIZ UDゴシック"/>
        <family val="3"/>
        <charset val="128"/>
      </rPr>
      <t>②</t>
    </r>
    <phoneticPr fontId="5"/>
  </si>
  <si>
    <t>均等割</t>
    <phoneticPr fontId="5"/>
  </si>
  <si>
    <t>世帯割</t>
  </si>
  <si>
    <t>介護分の保険税　(ア)+(イ)</t>
    <rPh sb="0" eb="2">
      <t>カイゴ</t>
    </rPh>
    <phoneticPr fontId="5"/>
  </si>
  <si>
    <t>…　③</t>
    <phoneticPr fontId="5"/>
  </si>
  <si>
    <t>子ども支援分の保険税　(ア)+(イ)+(ウ)</t>
    <rPh sb="0" eb="1">
      <t>コ</t>
    </rPh>
    <rPh sb="3" eb="5">
      <t>シエン</t>
    </rPh>
    <rPh sb="5" eb="6">
      <t>ブン</t>
    </rPh>
    <phoneticPr fontId="5"/>
  </si>
  <si>
    <t>…　④</t>
    <phoneticPr fontId="5"/>
  </si>
  <si>
    <t>年間　国民健康保険税【①＋②＋③＋④】</t>
    <rPh sb="0" eb="2">
      <t>ネンカン</t>
    </rPh>
    <rPh sb="3" eb="5">
      <t>コクミン</t>
    </rPh>
    <rPh sb="5" eb="7">
      <t>ケンコウ</t>
    </rPh>
    <rPh sb="7" eb="9">
      <t>ホケン</t>
    </rPh>
    <rPh sb="9" eb="10">
      <t>ゼイ</t>
    </rPh>
    <phoneticPr fontId="5"/>
  </si>
  <si>
    <t>１か月あたりの国民健康保険税（年間保険税／12か月）</t>
    <rPh sb="2" eb="3">
      <t>ツキ</t>
    </rPh>
    <rPh sb="7" eb="14">
      <t>コクミンケンコウホケンゼイ</t>
    </rPh>
    <rPh sb="15" eb="20">
      <t>ネンカンホケンゼイ</t>
    </rPh>
    <rPh sb="24" eb="25">
      <t>ツキ</t>
    </rPh>
    <phoneticPr fontId="5"/>
  </si>
  <si>
    <t>算出基礎情報</t>
    <rPh sb="0" eb="2">
      <t>サンシュツ</t>
    </rPh>
    <rPh sb="2" eb="4">
      <t>キソ</t>
    </rPh>
    <rPh sb="4" eb="6">
      <t>ジョウホウ</t>
    </rPh>
    <phoneticPr fontId="5"/>
  </si>
  <si>
    <t>試算年度</t>
    <rPh sb="0" eb="2">
      <t>シサン</t>
    </rPh>
    <rPh sb="2" eb="4">
      <t>ネンド</t>
    </rPh>
    <phoneticPr fontId="5"/>
  </si>
  <si>
    <t>年度</t>
    <rPh sb="0" eb="2">
      <t>ネンド</t>
    </rPh>
    <phoneticPr fontId="5"/>
  </si>
  <si>
    <t>１．入力＆結果シートの入力情報</t>
    <rPh sb="2" eb="4">
      <t>ニュウリョク</t>
    </rPh>
    <rPh sb="5" eb="7">
      <t>ケッカ</t>
    </rPh>
    <rPh sb="11" eb="13">
      <t>ニュウリョク</t>
    </rPh>
    <rPh sb="13" eb="15">
      <t>ジョウホウ</t>
    </rPh>
    <phoneticPr fontId="5"/>
  </si>
  <si>
    <t>加入年月：</t>
    <rPh sb="0" eb="2">
      <t>カニュウ</t>
    </rPh>
    <rPh sb="2" eb="4">
      <t>ネンゲツ</t>
    </rPh>
    <phoneticPr fontId="5"/>
  </si>
  <si>
    <t>２．税率表</t>
    <rPh sb="2" eb="4">
      <t>ゼイリツ</t>
    </rPh>
    <rPh sb="3" eb="4">
      <t>コクゼイ</t>
    </rPh>
    <rPh sb="4" eb="5">
      <t>ヒョウ</t>
    </rPh>
    <phoneticPr fontId="5"/>
  </si>
  <si>
    <t>３．軽減判定算定基準表</t>
    <rPh sb="2" eb="4">
      <t>ケイゲン</t>
    </rPh>
    <rPh sb="4" eb="6">
      <t>ハンテイ</t>
    </rPh>
    <rPh sb="6" eb="8">
      <t>サンテイ</t>
    </rPh>
    <rPh sb="8" eb="11">
      <t>キジュンヒョウ</t>
    </rPh>
    <phoneticPr fontId="5"/>
  </si>
  <si>
    <t>世帯主国保加入有無</t>
    <rPh sb="0" eb="3">
      <t>セタイヌシ</t>
    </rPh>
    <rPh sb="3" eb="5">
      <t>コクホ</t>
    </rPh>
    <rPh sb="5" eb="7">
      <t>カニュウ</t>
    </rPh>
    <rPh sb="7" eb="9">
      <t>ウム</t>
    </rPh>
    <phoneticPr fontId="5"/>
  </si>
  <si>
    <t>生年月日</t>
    <rPh sb="0" eb="4">
      <t>セイネンガッピ</t>
    </rPh>
    <phoneticPr fontId="5"/>
  </si>
  <si>
    <t>年金収入</t>
    <rPh sb="0" eb="2">
      <t>ネンキン</t>
    </rPh>
    <rPh sb="2" eb="4">
      <t>シュウニュウ</t>
    </rPh>
    <phoneticPr fontId="5"/>
  </si>
  <si>
    <t>非自発
該当有無</t>
    <rPh sb="0" eb="3">
      <t>ヒジハツ</t>
    </rPh>
    <rPh sb="4" eb="6">
      <t>ガイトウ</t>
    </rPh>
    <rPh sb="6" eb="8">
      <t>ウム</t>
    </rPh>
    <phoneticPr fontId="5"/>
  </si>
  <si>
    <t>均等割額</t>
    <rPh sb="0" eb="3">
      <t>キントウワリ</t>
    </rPh>
    <rPh sb="3" eb="4">
      <t>ガク</t>
    </rPh>
    <phoneticPr fontId="5"/>
  </si>
  <si>
    <t>18歳以上均等割額</t>
    <rPh sb="2" eb="3">
      <t>サイ</t>
    </rPh>
    <rPh sb="3" eb="5">
      <t>イジョウ</t>
    </rPh>
    <rPh sb="5" eb="8">
      <t>キントウワ</t>
    </rPh>
    <rPh sb="8" eb="9">
      <t>ガク</t>
    </rPh>
    <phoneticPr fontId="5"/>
  </si>
  <si>
    <t>基礎控除額</t>
    <rPh sb="0" eb="2">
      <t>キソ</t>
    </rPh>
    <rPh sb="2" eb="4">
      <t>コウジョ</t>
    </rPh>
    <rPh sb="4" eb="5">
      <t>ガク</t>
    </rPh>
    <phoneticPr fontId="5"/>
  </si>
  <si>
    <t>加算額①</t>
    <rPh sb="0" eb="2">
      <t>カサン</t>
    </rPh>
    <rPh sb="2" eb="3">
      <t>ガク</t>
    </rPh>
    <phoneticPr fontId="5"/>
  </si>
  <si>
    <t>加算額②</t>
    <rPh sb="0" eb="2">
      <t>カサン</t>
    </rPh>
    <rPh sb="2" eb="3">
      <t>ガク</t>
    </rPh>
    <phoneticPr fontId="5"/>
  </si>
  <si>
    <t>医療分</t>
    <rPh sb="0" eb="2">
      <t>イリョウ</t>
    </rPh>
    <rPh sb="2" eb="3">
      <t>ブン</t>
    </rPh>
    <phoneticPr fontId="5"/>
  </si>
  <si>
    <t>７割軽減</t>
    <rPh sb="1" eb="2">
      <t>ワリ</t>
    </rPh>
    <rPh sb="2" eb="4">
      <t>ケイゲン</t>
    </rPh>
    <phoneticPr fontId="5"/>
  </si>
  <si>
    <t>加入者1</t>
    <rPh sb="0" eb="3">
      <t>カニュウシャ</t>
    </rPh>
    <phoneticPr fontId="5"/>
  </si>
  <si>
    <t>後期支援分</t>
    <rPh sb="0" eb="4">
      <t>コウキシエン</t>
    </rPh>
    <rPh sb="4" eb="5">
      <t>ブン</t>
    </rPh>
    <phoneticPr fontId="5"/>
  </si>
  <si>
    <t>５割軽減</t>
    <rPh sb="1" eb="2">
      <t>ワリ</t>
    </rPh>
    <rPh sb="2" eb="4">
      <t>ケイゲン</t>
    </rPh>
    <phoneticPr fontId="5"/>
  </si>
  <si>
    <t>加入者2</t>
    <rPh sb="0" eb="3">
      <t>カニュウシャ</t>
    </rPh>
    <phoneticPr fontId="5"/>
  </si>
  <si>
    <t>２割軽減</t>
    <rPh sb="1" eb="2">
      <t>ワリ</t>
    </rPh>
    <rPh sb="2" eb="4">
      <t>ケイゲン</t>
    </rPh>
    <phoneticPr fontId="5"/>
  </si>
  <si>
    <t>加入者3</t>
    <rPh sb="0" eb="3">
      <t>カニュウシャ</t>
    </rPh>
    <phoneticPr fontId="5"/>
  </si>
  <si>
    <t>加入者4</t>
    <rPh sb="0" eb="3">
      <t>カニュウシャ</t>
    </rPh>
    <phoneticPr fontId="5"/>
  </si>
  <si>
    <t>加入者5</t>
    <rPh sb="0" eb="3">
      <t>カニュウシャ</t>
    </rPh>
    <phoneticPr fontId="5"/>
  </si>
  <si>
    <t>各月末時点の年齢及び資格区分</t>
    <rPh sb="0" eb="1">
      <t>カク</t>
    </rPh>
    <rPh sb="1" eb="3">
      <t>ゲツマツ</t>
    </rPh>
    <rPh sb="3" eb="5">
      <t>ジテン</t>
    </rPh>
    <rPh sb="6" eb="8">
      <t>ネンレイ</t>
    </rPh>
    <rPh sb="8" eb="9">
      <t>オヨ</t>
    </rPh>
    <rPh sb="10" eb="12">
      <t>シカク</t>
    </rPh>
    <rPh sb="12" eb="14">
      <t>クブン</t>
    </rPh>
    <phoneticPr fontId="5"/>
  </si>
  <si>
    <t>課税に影響がある生年月日</t>
    <rPh sb="0" eb="2">
      <t>カゼイ</t>
    </rPh>
    <rPh sb="3" eb="5">
      <t>エイキョウ</t>
    </rPh>
    <rPh sb="8" eb="12">
      <t>セイネンガッピ</t>
    </rPh>
    <phoneticPr fontId="5"/>
  </si>
  <si>
    <t>関数検索用</t>
    <rPh sb="0" eb="2">
      <t>カンスウ</t>
    </rPh>
    <rPh sb="2" eb="5">
      <t>ケンサクヨウ</t>
    </rPh>
    <phoneticPr fontId="5"/>
  </si>
  <si>
    <t>項目</t>
    <rPh sb="0" eb="2">
      <t>コウモク</t>
    </rPh>
    <phoneticPr fontId="5"/>
  </si>
  <si>
    <t>対象年月日</t>
    <rPh sb="0" eb="2">
      <t>タイショウ</t>
    </rPh>
    <rPh sb="2" eb="5">
      <t>ネンガッピ</t>
    </rPh>
    <phoneticPr fontId="5"/>
  </si>
  <si>
    <t>備考</t>
    <rPh sb="0" eb="2">
      <t>ビコウ</t>
    </rPh>
    <phoneticPr fontId="5"/>
  </si>
  <si>
    <t>月</t>
    <rPh sb="0" eb="1">
      <t>ツキ</t>
    </rPh>
    <phoneticPr fontId="5"/>
  </si>
  <si>
    <t>始</t>
    <rPh sb="0" eb="1">
      <t>ハジ</t>
    </rPh>
    <phoneticPr fontId="5"/>
  </si>
  <si>
    <t>終</t>
    <rPh sb="0" eb="1">
      <t>オ</t>
    </rPh>
    <phoneticPr fontId="5"/>
  </si>
  <si>
    <t>月末日</t>
    <rPh sb="0" eb="1">
      <t>ツキ</t>
    </rPh>
    <rPh sb="1" eb="3">
      <t>マツジツ</t>
    </rPh>
    <phoneticPr fontId="5"/>
  </si>
  <si>
    <t>65歳以上の公的年金控除の者</t>
    <rPh sb="2" eb="3">
      <t>サイ</t>
    </rPh>
    <rPh sb="3" eb="5">
      <t>イジョウ</t>
    </rPh>
    <rPh sb="6" eb="10">
      <t>コウテキネンキン</t>
    </rPh>
    <rPh sb="10" eb="12">
      <t>コウジョ</t>
    </rPh>
    <rPh sb="13" eb="14">
      <t>モノ</t>
    </rPh>
    <phoneticPr fontId="5"/>
  </si>
  <si>
    <t>左記以前に出生した者</t>
    <rPh sb="0" eb="2">
      <t>サキ</t>
    </rPh>
    <rPh sb="2" eb="4">
      <t>イゼン</t>
    </rPh>
    <rPh sb="5" eb="7">
      <t>シュッセイ</t>
    </rPh>
    <rPh sb="9" eb="10">
      <t>モノ</t>
    </rPh>
    <phoneticPr fontId="5"/>
  </si>
  <si>
    <t>加入月数</t>
    <rPh sb="0" eb="2">
      <t>カニュウ</t>
    </rPh>
    <rPh sb="2" eb="3">
      <t>ツキ</t>
    </rPh>
    <rPh sb="3" eb="4">
      <t>スウ</t>
    </rPh>
    <phoneticPr fontId="5"/>
  </si>
  <si>
    <t>課税該当月</t>
    <rPh sb="0" eb="2">
      <t>カゼイ</t>
    </rPh>
    <rPh sb="2" eb="4">
      <t>ガイトウ</t>
    </rPh>
    <rPh sb="4" eb="5">
      <t>ツキ</t>
    </rPh>
    <phoneticPr fontId="5"/>
  </si>
  <si>
    <t>未就学児に対する軽減の対象者</t>
    <rPh sb="0" eb="4">
      <t>ミシュウガクジ</t>
    </rPh>
    <rPh sb="5" eb="6">
      <t>タイ</t>
    </rPh>
    <rPh sb="8" eb="10">
      <t>ケイゲン</t>
    </rPh>
    <rPh sb="11" eb="14">
      <t>タイショウシャ</t>
    </rPh>
    <phoneticPr fontId="5"/>
  </si>
  <si>
    <t>資格区分変動</t>
    <rPh sb="0" eb="2">
      <t>シカク</t>
    </rPh>
    <rPh sb="2" eb="4">
      <t>クブン</t>
    </rPh>
    <rPh sb="4" eb="6">
      <t>ヘンドウ</t>
    </rPh>
    <phoneticPr fontId="5"/>
  </si>
  <si>
    <t>月末年齢</t>
    <rPh sb="0" eb="2">
      <t>ゲツマツ</t>
    </rPh>
    <rPh sb="2" eb="4">
      <t>ネンレイ</t>
    </rPh>
    <phoneticPr fontId="5"/>
  </si>
  <si>
    <t>18歳未満被保険者に対する軽減の対象者</t>
    <rPh sb="2" eb="3">
      <t>サイ</t>
    </rPh>
    <rPh sb="3" eb="5">
      <t>ミマン</t>
    </rPh>
    <rPh sb="5" eb="9">
      <t>ヒホケンシャ</t>
    </rPh>
    <rPh sb="10" eb="11">
      <t>タイ</t>
    </rPh>
    <rPh sb="13" eb="15">
      <t>ケイゲン</t>
    </rPh>
    <rPh sb="16" eb="18">
      <t>タイショウ</t>
    </rPh>
    <rPh sb="18" eb="19">
      <t>シャ</t>
    </rPh>
    <phoneticPr fontId="5"/>
  </si>
  <si>
    <t>40歳到達により介護分が発生する対象者</t>
    <rPh sb="2" eb="3">
      <t>サイ</t>
    </rPh>
    <rPh sb="3" eb="5">
      <t>トウタツ</t>
    </rPh>
    <rPh sb="8" eb="11">
      <t>カイゴブン</t>
    </rPh>
    <rPh sb="12" eb="14">
      <t>ハッセイ</t>
    </rPh>
    <rPh sb="16" eb="19">
      <t>タイショウシャ</t>
    </rPh>
    <phoneticPr fontId="5"/>
  </si>
  <si>
    <t>1日生まれは前月から発生</t>
    <rPh sb="1" eb="2">
      <t>ニチ</t>
    </rPh>
    <rPh sb="2" eb="3">
      <t>ウ</t>
    </rPh>
    <rPh sb="6" eb="8">
      <t>ゼンゲツ</t>
    </rPh>
    <rPh sb="10" eb="12">
      <t>ハッセイ</t>
    </rPh>
    <phoneticPr fontId="5"/>
  </si>
  <si>
    <t>65歳到達により介護分が対象外となる者</t>
    <rPh sb="2" eb="3">
      <t>サイ</t>
    </rPh>
    <rPh sb="3" eb="5">
      <t>トウタツ</t>
    </rPh>
    <rPh sb="8" eb="10">
      <t>カイゴ</t>
    </rPh>
    <rPh sb="10" eb="11">
      <t>ブン</t>
    </rPh>
    <rPh sb="12" eb="15">
      <t>タイショウガイ</t>
    </rPh>
    <rPh sb="18" eb="19">
      <t>モノ</t>
    </rPh>
    <phoneticPr fontId="5"/>
  </si>
  <si>
    <t>1日生まれは前月から喪失</t>
    <rPh sb="1" eb="2">
      <t>ニチ</t>
    </rPh>
    <rPh sb="2" eb="3">
      <t>ウ</t>
    </rPh>
    <rPh sb="6" eb="8">
      <t>ゼンゲツ</t>
    </rPh>
    <rPh sb="10" eb="12">
      <t>ソウシツ</t>
    </rPh>
    <phoneticPr fontId="5"/>
  </si>
  <si>
    <t>月末資格区分</t>
    <rPh sb="0" eb="2">
      <t>ゲツマツ</t>
    </rPh>
    <rPh sb="2" eb="4">
      <t>シカク</t>
    </rPh>
    <rPh sb="4" eb="6">
      <t>クブン</t>
    </rPh>
    <phoneticPr fontId="5"/>
  </si>
  <si>
    <t>75歳到達による資格喪失となる者</t>
    <rPh sb="2" eb="3">
      <t>サイ</t>
    </rPh>
    <rPh sb="3" eb="5">
      <t>トウタツ</t>
    </rPh>
    <rPh sb="8" eb="10">
      <t>シカク</t>
    </rPh>
    <rPh sb="10" eb="12">
      <t>ソウシツ</t>
    </rPh>
    <rPh sb="15" eb="16">
      <t>モノ</t>
    </rPh>
    <phoneticPr fontId="5"/>
  </si>
  <si>
    <t>終了月</t>
    <rPh sb="0" eb="2">
      <t>シュウリョウ</t>
    </rPh>
    <rPh sb="2" eb="3">
      <t>ツキ</t>
    </rPh>
    <phoneticPr fontId="5"/>
  </si>
  <si>
    <t>４．課税計算に必要となる情報</t>
    <rPh sb="2" eb="4">
      <t>カゼイ</t>
    </rPh>
    <rPh sb="4" eb="6">
      <t>ケイサン</t>
    </rPh>
    <rPh sb="7" eb="9">
      <t>ヒツヨウ</t>
    </rPh>
    <rPh sb="12" eb="14">
      <t>ジョウホウ</t>
    </rPh>
    <phoneticPr fontId="5"/>
  </si>
  <si>
    <t>(1)　世帯主と加入者の分類及び課税標準額</t>
    <rPh sb="4" eb="7">
      <t>セタイヌシ</t>
    </rPh>
    <rPh sb="8" eb="11">
      <t>カニュウシャ</t>
    </rPh>
    <rPh sb="12" eb="14">
      <t>ブンルイ</t>
    </rPh>
    <rPh sb="14" eb="15">
      <t>オヨ</t>
    </rPh>
    <rPh sb="16" eb="18">
      <t>カゼイ</t>
    </rPh>
    <rPh sb="18" eb="20">
      <t>ヒョウジュン</t>
    </rPh>
    <rPh sb="20" eb="21">
      <t>ガク</t>
    </rPh>
    <phoneticPr fontId="5"/>
  </si>
  <si>
    <t>(2)　所得金額調整控除（年金等）額算出</t>
    <rPh sb="4" eb="6">
      <t>ショトク</t>
    </rPh>
    <rPh sb="6" eb="8">
      <t>キンガク</t>
    </rPh>
    <rPh sb="8" eb="10">
      <t>チョウセイ</t>
    </rPh>
    <rPh sb="10" eb="12">
      <t>コウジョ</t>
    </rPh>
    <rPh sb="13" eb="15">
      <t>ネンキン</t>
    </rPh>
    <rPh sb="15" eb="16">
      <t>トウ</t>
    </rPh>
    <rPh sb="17" eb="18">
      <t>ガク</t>
    </rPh>
    <rPh sb="18" eb="20">
      <t>サンシュツ</t>
    </rPh>
    <phoneticPr fontId="5"/>
  </si>
  <si>
    <t>①
加入状況
0：加入なし
1：加入あり</t>
    <rPh sb="3" eb="5">
      <t>カニュウ</t>
    </rPh>
    <rPh sb="5" eb="7">
      <t>ジョウキョウ</t>
    </rPh>
    <rPh sb="10" eb="12">
      <t>カニュウ</t>
    </rPh>
    <rPh sb="17" eb="19">
      <t>カニュウ</t>
    </rPh>
    <phoneticPr fontId="5"/>
  </si>
  <si>
    <t>③
介護分
0：該当なし
1：該当あり</t>
    <rPh sb="3" eb="5">
      <t>カイゴ</t>
    </rPh>
    <rPh sb="5" eb="6">
      <t>ブン</t>
    </rPh>
    <rPh sb="9" eb="11">
      <t>ガイトウ</t>
    </rPh>
    <rPh sb="16" eb="18">
      <t>ガイトウ</t>
    </rPh>
    <phoneticPr fontId="5"/>
  </si>
  <si>
    <t>④
18歳以上
0：該当なし
1：該当あり</t>
    <rPh sb="5" eb="6">
      <t>サイ</t>
    </rPh>
    <rPh sb="6" eb="8">
      <t>イジョウ</t>
    </rPh>
    <phoneticPr fontId="5"/>
  </si>
  <si>
    <t>⑤
未就学児
0：該当なし
1：該当あり</t>
    <rPh sb="3" eb="7">
      <t>ミシュウガクジ</t>
    </rPh>
    <rPh sb="10" eb="12">
      <t>ガイトウ</t>
    </rPh>
    <rPh sb="17" eb="19">
      <t>ガイトウ</t>
    </rPh>
    <phoneticPr fontId="5"/>
  </si>
  <si>
    <t>⑥
非自発失業
0：該当なし
1：該当あり</t>
    <rPh sb="3" eb="6">
      <t>ヒジハツ</t>
    </rPh>
    <rPh sb="6" eb="8">
      <t>シツギョウ</t>
    </rPh>
    <rPh sb="11" eb="13">
      <t>ガイトウ</t>
    </rPh>
    <rPh sb="18" eb="20">
      <t>ガイトウ</t>
    </rPh>
    <phoneticPr fontId="5"/>
  </si>
  <si>
    <t>⑦
給与所得控除後の給与金額</t>
    <rPh sb="3" eb="5">
      <t>キュウヨ</t>
    </rPh>
    <rPh sb="5" eb="7">
      <t>ショトク</t>
    </rPh>
    <rPh sb="7" eb="9">
      <t>コウジョ</t>
    </rPh>
    <rPh sb="9" eb="10">
      <t>ゴ</t>
    </rPh>
    <rPh sb="11" eb="13">
      <t>キュウヨ</t>
    </rPh>
    <rPh sb="13" eb="15">
      <t>キンガク</t>
    </rPh>
    <phoneticPr fontId="5"/>
  </si>
  <si>
    <t>⑧
非自発失業者給与所得控除後の給与金額</t>
    <rPh sb="3" eb="4">
      <t>ヒ</t>
    </rPh>
    <rPh sb="4" eb="6">
      <t>ジハツ</t>
    </rPh>
    <rPh sb="6" eb="9">
      <t>シツギョウシャ</t>
    </rPh>
    <rPh sb="9" eb="11">
      <t>キュウヨ</t>
    </rPh>
    <rPh sb="11" eb="13">
      <t>ショトク</t>
    </rPh>
    <rPh sb="13" eb="15">
      <t>コウジョ</t>
    </rPh>
    <rPh sb="15" eb="16">
      <t>ゴ</t>
    </rPh>
    <rPh sb="17" eb="19">
      <t>キュウヨ</t>
    </rPh>
    <rPh sb="19" eb="21">
      <t>キンガク</t>
    </rPh>
    <phoneticPr fontId="5"/>
  </si>
  <si>
    <t>⑨
所得金額調整控除（年金等）額</t>
    <rPh sb="3" eb="5">
      <t>ショトク</t>
    </rPh>
    <rPh sb="5" eb="7">
      <t>キンガク</t>
    </rPh>
    <rPh sb="7" eb="9">
      <t>チョウセイ</t>
    </rPh>
    <rPh sb="9" eb="11">
      <t>コウジョ</t>
    </rPh>
    <rPh sb="12" eb="14">
      <t>ネンキン</t>
    </rPh>
    <rPh sb="14" eb="15">
      <t>トウ</t>
    </rPh>
    <rPh sb="16" eb="17">
      <t>ガク</t>
    </rPh>
    <phoneticPr fontId="5"/>
  </si>
  <si>
    <t>⑩
給与所得</t>
    <rPh sb="3" eb="5">
      <t>キュウヨ</t>
    </rPh>
    <rPh sb="5" eb="7">
      <t>ショトク</t>
    </rPh>
    <phoneticPr fontId="5"/>
  </si>
  <si>
    <t>⑪
年金所得</t>
    <rPh sb="3" eb="7">
      <t>ネンキンショトク</t>
    </rPh>
    <phoneticPr fontId="5"/>
  </si>
  <si>
    <t>⑫
その他所得</t>
    <rPh sb="5" eb="6">
      <t>タ</t>
    </rPh>
    <rPh sb="6" eb="8">
      <t>ショトク</t>
    </rPh>
    <phoneticPr fontId="5"/>
  </si>
  <si>
    <t>⑬
総所得金額等
(⑩+⑪+⑫)</t>
    <rPh sb="3" eb="6">
      <t>ソウショトク</t>
    </rPh>
    <rPh sb="6" eb="8">
      <t>キンガク</t>
    </rPh>
    <rPh sb="8" eb="9">
      <t>トウ</t>
    </rPh>
    <phoneticPr fontId="5"/>
  </si>
  <si>
    <t>⑭
課税標準額
(⑬-43万円)</t>
    <rPh sb="3" eb="5">
      <t>カゼイ</t>
    </rPh>
    <rPh sb="5" eb="7">
      <t>ヒョウジュン</t>
    </rPh>
    <rPh sb="7" eb="8">
      <t>ガク</t>
    </rPh>
    <rPh sb="15" eb="17">
      <t>マンエン</t>
    </rPh>
    <phoneticPr fontId="5"/>
  </si>
  <si>
    <t>算出における所得額</t>
    <rPh sb="0" eb="2">
      <t>サンシュツ</t>
    </rPh>
    <rPh sb="6" eb="9">
      <t>ショトクガク</t>
    </rPh>
    <phoneticPr fontId="5"/>
  </si>
  <si>
    <t>給与所得控除後の給与金額</t>
    <rPh sb="0" eb="2">
      <t>キュウヨ</t>
    </rPh>
    <rPh sb="2" eb="4">
      <t>ショトク</t>
    </rPh>
    <rPh sb="4" eb="7">
      <t>コウジョゴ</t>
    </rPh>
    <rPh sb="8" eb="10">
      <t>キュウヨ</t>
    </rPh>
    <rPh sb="10" eb="12">
      <t>キンガク</t>
    </rPh>
    <phoneticPr fontId="5"/>
  </si>
  <si>
    <t>年金所得</t>
    <rPh sb="0" eb="4">
      <t>ネンキンショトク</t>
    </rPh>
    <phoneticPr fontId="5"/>
  </si>
  <si>
    <t>５．低所得者向け軽減判定</t>
    <rPh sb="2" eb="6">
      <t>テイショトクシャ</t>
    </rPh>
    <rPh sb="6" eb="7">
      <t>ム</t>
    </rPh>
    <rPh sb="8" eb="10">
      <t>ケイゲン</t>
    </rPh>
    <rPh sb="10" eb="12">
      <t>ハンテイ</t>
    </rPh>
    <phoneticPr fontId="5"/>
  </si>
  <si>
    <t>(1)　世帯主と加入者の分類及び軽減判定用の所得金額</t>
    <rPh sb="16" eb="18">
      <t>ケイゲン</t>
    </rPh>
    <rPh sb="18" eb="20">
      <t>ハンテイ</t>
    </rPh>
    <rPh sb="20" eb="21">
      <t>ヨウ</t>
    </rPh>
    <rPh sb="22" eb="24">
      <t>ショトク</t>
    </rPh>
    <rPh sb="24" eb="26">
      <t>キンガク</t>
    </rPh>
    <phoneticPr fontId="5"/>
  </si>
  <si>
    <t>給与所得控除後の給与金額</t>
    <rPh sb="0" eb="2">
      <t>キュウヨ</t>
    </rPh>
    <rPh sb="2" eb="4">
      <t>ショトク</t>
    </rPh>
    <rPh sb="4" eb="6">
      <t>コウジョ</t>
    </rPh>
    <rPh sb="6" eb="7">
      <t>ゴ</t>
    </rPh>
    <rPh sb="8" eb="10">
      <t>キュウヨ</t>
    </rPh>
    <rPh sb="10" eb="12">
      <t>キンガク</t>
    </rPh>
    <phoneticPr fontId="5"/>
  </si>
  <si>
    <t>(3)　給与所得者等の数</t>
    <rPh sb="4" eb="6">
      <t>キュウヨ</t>
    </rPh>
    <rPh sb="6" eb="8">
      <t>ショトク</t>
    </rPh>
    <rPh sb="8" eb="10">
      <t>シャナド</t>
    </rPh>
    <rPh sb="11" eb="12">
      <t>カズ</t>
    </rPh>
    <phoneticPr fontId="5"/>
  </si>
  <si>
    <t>(4)　軽減判定結果（軽減区分）</t>
    <rPh sb="4" eb="6">
      <t>ケイゲン</t>
    </rPh>
    <rPh sb="6" eb="8">
      <t>ハンテイ</t>
    </rPh>
    <rPh sb="8" eb="10">
      <t>ケッカ</t>
    </rPh>
    <rPh sb="11" eb="13">
      <t>ケイゲン</t>
    </rPh>
    <rPh sb="13" eb="15">
      <t>クブン</t>
    </rPh>
    <phoneticPr fontId="5"/>
  </si>
  <si>
    <t>該当区分</t>
    <rPh sb="0" eb="2">
      <t>ガイトウ</t>
    </rPh>
    <rPh sb="2" eb="4">
      <t>クブン</t>
    </rPh>
    <phoneticPr fontId="5"/>
  </si>
  <si>
    <t>判定結果
↓</t>
    <rPh sb="0" eb="2">
      <t>ハンテイ</t>
    </rPh>
    <rPh sb="2" eb="4">
      <t>ケッカ</t>
    </rPh>
    <phoneticPr fontId="5"/>
  </si>
  <si>
    <t>軽減割合</t>
    <rPh sb="0" eb="2">
      <t>ケイゲン</t>
    </rPh>
    <rPh sb="2" eb="4">
      <t>ワリアイ</t>
    </rPh>
    <phoneticPr fontId="5"/>
  </si>
  <si>
    <t>軽減判定基準額</t>
    <rPh sb="0" eb="2">
      <t>ケイゲン</t>
    </rPh>
    <rPh sb="2" eb="4">
      <t>ハンテイ</t>
    </rPh>
    <rPh sb="4" eb="7">
      <t>キジュンガク</t>
    </rPh>
    <phoneticPr fontId="5"/>
  </si>
  <si>
    <r>
      <t>計算式
（</t>
    </r>
    <r>
      <rPr>
        <sz val="10"/>
        <color rgb="FFFF0000"/>
        <rFont val="BIZ UDゴシック"/>
        <family val="3"/>
        <charset val="128"/>
      </rPr>
      <t>基礎控除額</t>
    </r>
    <r>
      <rPr>
        <sz val="10"/>
        <color theme="1"/>
        <rFont val="BIZ UDゴシック"/>
        <family val="3"/>
        <charset val="128"/>
      </rPr>
      <t>＋</t>
    </r>
    <r>
      <rPr>
        <sz val="10"/>
        <color theme="7" tint="-0.499984740745262"/>
        <rFont val="BIZ UDゴシック"/>
        <family val="3"/>
        <charset val="128"/>
      </rPr>
      <t>加算額①</t>
    </r>
    <r>
      <rPr>
        <sz val="10"/>
        <color theme="1"/>
        <rFont val="BIZ UDゴシック"/>
        <family val="3"/>
        <charset val="128"/>
      </rPr>
      <t>＋加算額②）</t>
    </r>
    <rPh sb="0" eb="2">
      <t>ケイサン</t>
    </rPh>
    <rPh sb="2" eb="3">
      <t>シキ</t>
    </rPh>
    <rPh sb="5" eb="7">
      <t>キソ</t>
    </rPh>
    <rPh sb="7" eb="9">
      <t>コウジョ</t>
    </rPh>
    <rPh sb="9" eb="10">
      <t>ガク</t>
    </rPh>
    <rPh sb="11" eb="14">
      <t>カサンガク</t>
    </rPh>
    <rPh sb="16" eb="19">
      <t>カサンガク</t>
    </rPh>
    <phoneticPr fontId="5"/>
  </si>
  <si>
    <t>給与収入
55万以上</t>
    <rPh sb="0" eb="2">
      <t>キュウヨ</t>
    </rPh>
    <rPh sb="2" eb="4">
      <t>シュウニュウ</t>
    </rPh>
    <rPh sb="7" eb="8">
      <t>マン</t>
    </rPh>
    <rPh sb="8" eb="10">
      <t>イジョウ</t>
    </rPh>
    <phoneticPr fontId="5"/>
  </si>
  <si>
    <t>年金収入
60万以上
※64歳以下</t>
    <rPh sb="0" eb="2">
      <t>ネンキン</t>
    </rPh>
    <rPh sb="2" eb="4">
      <t>シュウニュウ</t>
    </rPh>
    <rPh sb="7" eb="8">
      <t>マン</t>
    </rPh>
    <rPh sb="8" eb="10">
      <t>イジョウ</t>
    </rPh>
    <rPh sb="14" eb="15">
      <t>サイ</t>
    </rPh>
    <rPh sb="15" eb="17">
      <t>イカ</t>
    </rPh>
    <phoneticPr fontId="5"/>
  </si>
  <si>
    <t>年金収入
125万以上
※65歳以上</t>
    <rPh sb="0" eb="2">
      <t>ネンキン</t>
    </rPh>
    <rPh sb="2" eb="4">
      <t>シュウニュウ</t>
    </rPh>
    <rPh sb="8" eb="9">
      <t>マン</t>
    </rPh>
    <rPh sb="9" eb="11">
      <t>イジョウ</t>
    </rPh>
    <rPh sb="15" eb="16">
      <t>サイ</t>
    </rPh>
    <rPh sb="16" eb="18">
      <t>イジョウ</t>
    </rPh>
    <phoneticPr fontId="5"/>
  </si>
  <si>
    <t>計</t>
    <rPh sb="0" eb="1">
      <t>ケイ</t>
    </rPh>
    <phoneticPr fontId="5"/>
  </si>
  <si>
    <t>基準控除額</t>
    <rPh sb="0" eb="2">
      <t>キジュン</t>
    </rPh>
    <rPh sb="2" eb="4">
      <t>コウジョ</t>
    </rPh>
    <rPh sb="4" eb="5">
      <t>ガク</t>
    </rPh>
    <phoneticPr fontId="5"/>
  </si>
  <si>
    <t>加算額①</t>
    <rPh sb="0" eb="3">
      <t>カサンガク</t>
    </rPh>
    <phoneticPr fontId="5"/>
  </si>
  <si>
    <t>加算額②</t>
    <rPh sb="0" eb="3">
      <t>カサンガク</t>
    </rPh>
    <phoneticPr fontId="5"/>
  </si>
  <si>
    <t>給与所得控除後の金額　算出表</t>
    <rPh sb="0" eb="2">
      <t>キュウヨ</t>
    </rPh>
    <rPh sb="2" eb="4">
      <t>ショトク</t>
    </rPh>
    <rPh sb="4" eb="7">
      <t>コウジョゴ</t>
    </rPh>
    <rPh sb="8" eb="10">
      <t>キンガク</t>
    </rPh>
    <rPh sb="11" eb="13">
      <t>サンシュツ</t>
    </rPh>
    <rPh sb="13" eb="14">
      <t>ヒョウ</t>
    </rPh>
    <phoneticPr fontId="5"/>
  </si>
  <si>
    <r>
      <t>給与等の収入金額</t>
    </r>
    <r>
      <rPr>
        <sz val="12"/>
        <color rgb="FFFF0000"/>
        <rFont val="BIZ UDゴシック"/>
        <family val="3"/>
        <charset val="128"/>
      </rPr>
      <t>（A）</t>
    </r>
    <rPh sb="0" eb="2">
      <t>キュウヨ</t>
    </rPh>
    <rPh sb="2" eb="3">
      <t>トウ</t>
    </rPh>
    <rPh sb="4" eb="6">
      <t>シュウニュウ</t>
    </rPh>
    <rPh sb="6" eb="8">
      <t>キンガク</t>
    </rPh>
    <phoneticPr fontId="5"/>
  </si>
  <si>
    <t>給与所得控除後の金額</t>
    <rPh sb="4" eb="7">
      <t>コウジョゴ</t>
    </rPh>
    <phoneticPr fontId="5"/>
  </si>
  <si>
    <t>～</t>
  </si>
  <si>
    <t>０円</t>
    <rPh sb="1" eb="2">
      <t>エン</t>
    </rPh>
    <phoneticPr fontId="5"/>
  </si>
  <si>
    <r>
      <rPr>
        <sz val="11"/>
        <color rgb="FFFF0000"/>
        <rFont val="BIZ UDゴシック"/>
        <family val="3"/>
        <charset val="128"/>
      </rPr>
      <t>（A）</t>
    </r>
    <r>
      <rPr>
        <sz val="11"/>
        <color theme="1"/>
        <rFont val="BIZ UDゴシック"/>
        <family val="3"/>
        <charset val="128"/>
      </rPr>
      <t>－650,000円</t>
    </r>
    <phoneticPr fontId="5"/>
  </si>
  <si>
    <r>
      <t>（A）÷４（千円未満切捨て）＝</t>
    </r>
    <r>
      <rPr>
        <sz val="11"/>
        <color theme="4"/>
        <rFont val="BIZ UDゴシック"/>
        <family val="3"/>
        <charset val="128"/>
      </rPr>
      <t>(B)　</t>
    </r>
    <rPh sb="6" eb="8">
      <t>センエン</t>
    </rPh>
    <rPh sb="8" eb="10">
      <t>ミマン</t>
    </rPh>
    <rPh sb="10" eb="12">
      <t>キリス</t>
    </rPh>
    <phoneticPr fontId="5"/>
  </si>
  <si>
    <t>(B)</t>
    <phoneticPr fontId="5"/>
  </si>
  <si>
    <r>
      <rPr>
        <sz val="11"/>
        <color theme="4"/>
        <rFont val="BIZ UDゴシック"/>
        <family val="3"/>
        <charset val="128"/>
      </rPr>
      <t>(B)</t>
    </r>
    <r>
      <rPr>
        <sz val="11"/>
        <color theme="1"/>
        <rFont val="BIZ UDゴシック"/>
        <family val="3"/>
        <charset val="128"/>
      </rPr>
      <t>×2.8－80,000円</t>
    </r>
    <phoneticPr fontId="5"/>
  </si>
  <si>
    <r>
      <t>（A）÷４（千円未満切捨て）＝</t>
    </r>
    <r>
      <rPr>
        <sz val="11"/>
        <color theme="4"/>
        <rFont val="BIZ UDゴシック"/>
        <family val="3"/>
        <charset val="128"/>
      </rPr>
      <t>(B)</t>
    </r>
    <r>
      <rPr>
        <sz val="11"/>
        <color rgb="FFFF0000"/>
        <rFont val="BIZ UDゴシック"/>
        <family val="3"/>
        <charset val="128"/>
      </rPr>
      <t>　</t>
    </r>
    <rPh sb="6" eb="8">
      <t>センエン</t>
    </rPh>
    <rPh sb="8" eb="10">
      <t>ミマン</t>
    </rPh>
    <rPh sb="10" eb="12">
      <t>キリス</t>
    </rPh>
    <phoneticPr fontId="5"/>
  </si>
  <si>
    <r>
      <rPr>
        <sz val="11"/>
        <color theme="4"/>
        <rFont val="BIZ UDゴシック"/>
        <family val="3"/>
        <charset val="128"/>
      </rPr>
      <t>(B)</t>
    </r>
    <r>
      <rPr>
        <sz val="11"/>
        <color theme="1"/>
        <rFont val="BIZ UDゴシック"/>
        <family val="3"/>
        <charset val="128"/>
      </rPr>
      <t>×3.2－440,000円</t>
    </r>
    <phoneticPr fontId="5"/>
  </si>
  <si>
    <r>
      <rPr>
        <sz val="11"/>
        <color rgb="FFFF0000"/>
        <rFont val="BIZ UDゴシック"/>
        <family val="3"/>
        <charset val="128"/>
      </rPr>
      <t>（A）</t>
    </r>
    <r>
      <rPr>
        <sz val="11"/>
        <color theme="1"/>
        <rFont val="BIZ UDゴシック"/>
        <family val="3"/>
        <charset val="128"/>
      </rPr>
      <t>×90％－1,100,000円</t>
    </r>
    <rPh sb="17" eb="18">
      <t>エン</t>
    </rPh>
    <phoneticPr fontId="5"/>
  </si>
  <si>
    <r>
      <rPr>
        <sz val="11"/>
        <color rgb="FFFF0000"/>
        <rFont val="BIZ UDゴシック"/>
        <family val="3"/>
        <charset val="128"/>
      </rPr>
      <t>（A）</t>
    </r>
    <r>
      <rPr>
        <sz val="11"/>
        <color theme="1"/>
        <rFont val="BIZ UDゴシック"/>
        <family val="3"/>
        <charset val="128"/>
      </rPr>
      <t>－1,950,000円</t>
    </r>
    <rPh sb="13" eb="14">
      <t>エン</t>
    </rPh>
    <phoneticPr fontId="5"/>
  </si>
  <si>
    <t>給与収入</t>
    <rPh sb="0" eb="2">
      <t>キュウヨ</t>
    </rPh>
    <rPh sb="2" eb="4">
      <t>シュウニュウ</t>
    </rPh>
    <phoneticPr fontId="5"/>
  </si>
  <si>
    <r>
      <t xml:space="preserve">給与所得控除後の金額
</t>
    </r>
    <r>
      <rPr>
        <sz val="9"/>
        <color theme="1"/>
        <rFont val="BIZ UDゴシック"/>
        <family val="3"/>
        <charset val="128"/>
      </rPr>
      <t>※右表の
算出結果</t>
    </r>
    <rPh sb="0" eb="2">
      <t>キュウヨ</t>
    </rPh>
    <rPh sb="2" eb="4">
      <t>ショトク</t>
    </rPh>
    <rPh sb="4" eb="7">
      <t>コウジョゴ</t>
    </rPh>
    <rPh sb="8" eb="10">
      <t>キンガク</t>
    </rPh>
    <phoneticPr fontId="5"/>
  </si>
  <si>
    <t>加入者１</t>
    <rPh sb="0" eb="2">
      <t>カニュウ</t>
    </rPh>
    <rPh sb="2" eb="3">
      <t>シャ</t>
    </rPh>
    <phoneticPr fontId="5"/>
  </si>
  <si>
    <t>加入者２</t>
    <rPh sb="0" eb="2">
      <t>カニュウ</t>
    </rPh>
    <rPh sb="2" eb="3">
      <t>シャ</t>
    </rPh>
    <phoneticPr fontId="5"/>
  </si>
  <si>
    <t>加入者３</t>
    <rPh sb="0" eb="2">
      <t>カニュウ</t>
    </rPh>
    <rPh sb="2" eb="3">
      <t>シャ</t>
    </rPh>
    <phoneticPr fontId="5"/>
  </si>
  <si>
    <t>加入者４</t>
    <rPh sb="0" eb="2">
      <t>カニュウ</t>
    </rPh>
    <rPh sb="2" eb="3">
      <t>シャ</t>
    </rPh>
    <phoneticPr fontId="5"/>
  </si>
  <si>
    <t>加入者５</t>
    <rPh sb="0" eb="2">
      <t>カニュウ</t>
    </rPh>
    <rPh sb="2" eb="3">
      <t>シャ</t>
    </rPh>
    <phoneticPr fontId="5"/>
  </si>
  <si>
    <t>公的年金等に係る雑所得　算出表</t>
    <rPh sb="0" eb="2">
      <t>コウテキ</t>
    </rPh>
    <rPh sb="2" eb="4">
      <t>ネンキン</t>
    </rPh>
    <rPh sb="4" eb="5">
      <t>トウ</t>
    </rPh>
    <rPh sb="6" eb="7">
      <t>カカ</t>
    </rPh>
    <rPh sb="8" eb="11">
      <t>ザツショトク</t>
    </rPh>
    <rPh sb="12" eb="14">
      <t>サンシュツ</t>
    </rPh>
    <rPh sb="14" eb="15">
      <t>ヒョウ</t>
    </rPh>
    <phoneticPr fontId="5"/>
  </si>
  <si>
    <t>１．公的年金等に係る雑所得</t>
    <rPh sb="2" eb="4">
      <t>コウテキ</t>
    </rPh>
    <rPh sb="4" eb="6">
      <t>ネンキン</t>
    </rPh>
    <rPh sb="6" eb="7">
      <t>トウ</t>
    </rPh>
    <rPh sb="8" eb="9">
      <t>カカ</t>
    </rPh>
    <rPh sb="10" eb="13">
      <t>ザツショトク</t>
    </rPh>
    <phoneticPr fontId="5"/>
  </si>
  <si>
    <t>　（公的年金等控除額）</t>
  </si>
  <si>
    <t>公的年金等に係る雑所得以外の所得に係る合計所得金額1,000万円以下の場合</t>
    <rPh sb="0" eb="4">
      <t>コウテキネンキン</t>
    </rPh>
    <rPh sb="4" eb="5">
      <t>トウ</t>
    </rPh>
    <rPh sb="6" eb="7">
      <t>カカ</t>
    </rPh>
    <rPh sb="8" eb="11">
      <t>ザツショトク</t>
    </rPh>
    <rPh sb="11" eb="13">
      <t>イガイ</t>
    </rPh>
    <rPh sb="14" eb="16">
      <t>ショトク</t>
    </rPh>
    <rPh sb="17" eb="18">
      <t>カカ</t>
    </rPh>
    <rPh sb="19" eb="23">
      <t>ゴウケイショトク</t>
    </rPh>
    <rPh sb="23" eb="25">
      <t>キンガク</t>
    </rPh>
    <rPh sb="30" eb="32">
      <t>マンエン</t>
    </rPh>
    <rPh sb="32" eb="34">
      <t>イカ</t>
    </rPh>
    <rPh sb="35" eb="37">
      <t>バアイ</t>
    </rPh>
    <phoneticPr fontId="5"/>
  </si>
  <si>
    <t>受給者の区分</t>
    <rPh sb="0" eb="3">
      <t>ジュキュウシャ</t>
    </rPh>
    <rPh sb="4" eb="6">
      <t>クブン</t>
    </rPh>
    <phoneticPr fontId="5"/>
  </si>
  <si>
    <r>
      <t>受給者の区分その年中の
公的年金等の収入金額</t>
    </r>
    <r>
      <rPr>
        <sz val="11"/>
        <color rgb="FFFF0000"/>
        <rFont val="BIZ UDゴシック"/>
        <family val="3"/>
        <charset val="128"/>
      </rPr>
      <t>（A）</t>
    </r>
    <phoneticPr fontId="5"/>
  </si>
  <si>
    <t>年金所得</t>
    <rPh sb="0" eb="2">
      <t>ネンキン</t>
    </rPh>
    <rPh sb="2" eb="4">
      <t>ショトク</t>
    </rPh>
    <phoneticPr fontId="5"/>
  </si>
  <si>
    <t>65歳以上</t>
    <phoneticPr fontId="5"/>
  </si>
  <si>
    <t>0円</t>
    <rPh sb="1" eb="2">
      <t>エン</t>
    </rPh>
    <phoneticPr fontId="5"/>
  </si>
  <si>
    <t>～</t>
    <phoneticPr fontId="5"/>
  </si>
  <si>
    <r>
      <rPr>
        <sz val="11"/>
        <color rgb="FFFF0000"/>
        <rFont val="BIZ UDゴシック"/>
        <family val="3"/>
        <charset val="128"/>
      </rPr>
      <t>（A）</t>
    </r>
    <r>
      <rPr>
        <sz val="11"/>
        <color theme="1"/>
        <rFont val="BIZ UDゴシック"/>
        <family val="3"/>
        <charset val="128"/>
      </rPr>
      <t>- 110万円</t>
    </r>
    <rPh sb="9" eb="10">
      <t>エン</t>
    </rPh>
    <phoneticPr fontId="5"/>
  </si>
  <si>
    <r>
      <rPr>
        <sz val="11"/>
        <color rgb="FFFF0000"/>
        <rFont val="BIZ UDゴシック"/>
        <family val="3"/>
        <charset val="128"/>
      </rPr>
      <t>（A）</t>
    </r>
    <r>
      <rPr>
        <sz val="11"/>
        <color theme="1"/>
        <rFont val="BIZ UDゴシック"/>
        <family val="3"/>
        <charset val="128"/>
      </rPr>
      <t>× 75％ -  27万5,000円</t>
    </r>
    <phoneticPr fontId="5"/>
  </si>
  <si>
    <r>
      <rPr>
        <sz val="11"/>
        <color rgb="FFFF0000"/>
        <rFont val="BIZ UDゴシック"/>
        <family val="3"/>
        <charset val="128"/>
      </rPr>
      <t>（A）</t>
    </r>
    <r>
      <rPr>
        <sz val="11"/>
        <color theme="1"/>
        <rFont val="BIZ UDゴシック"/>
        <family val="3"/>
        <charset val="128"/>
      </rPr>
      <t>× 85％ -  68万5,000円</t>
    </r>
    <phoneticPr fontId="5"/>
  </si>
  <si>
    <r>
      <rPr>
        <sz val="11"/>
        <color rgb="FFFF0000"/>
        <rFont val="BIZ UDゴシック"/>
        <family val="3"/>
        <charset val="128"/>
      </rPr>
      <t>（A）</t>
    </r>
    <r>
      <rPr>
        <sz val="11"/>
        <color theme="1"/>
        <rFont val="BIZ UDゴシック"/>
        <family val="3"/>
        <charset val="128"/>
      </rPr>
      <t>× 95％ - 145万5,000円</t>
    </r>
    <phoneticPr fontId="5"/>
  </si>
  <si>
    <r>
      <rPr>
        <sz val="11"/>
        <color rgb="FFFF0000"/>
        <rFont val="BIZ UDゴシック"/>
        <family val="3"/>
        <charset val="128"/>
      </rPr>
      <t>（A）</t>
    </r>
    <r>
      <rPr>
        <sz val="11"/>
        <color theme="1"/>
        <rFont val="BIZ UDゴシック"/>
        <family val="3"/>
        <charset val="128"/>
      </rPr>
      <t>- 195万5,000円</t>
    </r>
    <rPh sb="14" eb="15">
      <t>エン</t>
    </rPh>
    <phoneticPr fontId="5"/>
  </si>
  <si>
    <t>64歳以下</t>
    <rPh sb="2" eb="3">
      <t>サイ</t>
    </rPh>
    <rPh sb="3" eb="5">
      <t>イカ</t>
    </rPh>
    <phoneticPr fontId="5"/>
  </si>
  <si>
    <r>
      <rPr>
        <sz val="11"/>
        <color rgb="FFFF0000"/>
        <rFont val="BIZ UDゴシック"/>
        <family val="3"/>
        <charset val="128"/>
      </rPr>
      <t>（A）</t>
    </r>
    <r>
      <rPr>
        <sz val="11"/>
        <color theme="1"/>
        <rFont val="BIZ UDゴシック"/>
        <family val="3"/>
        <charset val="128"/>
      </rPr>
      <t>- 60万円</t>
    </r>
    <rPh sb="8" eb="9">
      <t>エン</t>
    </rPh>
    <phoneticPr fontId="5"/>
  </si>
  <si>
    <t>※合計所得金額が”1,000万円超え”以上の場合の公的年金等控除額は対象者が少ないことなどから、上表1,000万円以下の場合と同様に算出する。</t>
    <rPh sb="1" eb="7">
      <t>ゴウケイショトクキンガク</t>
    </rPh>
    <rPh sb="14" eb="16">
      <t>マンエン</t>
    </rPh>
    <rPh sb="16" eb="17">
      <t>コ</t>
    </rPh>
    <rPh sb="19" eb="21">
      <t>イジョウ</t>
    </rPh>
    <rPh sb="22" eb="24">
      <t>バアイ</t>
    </rPh>
    <rPh sb="25" eb="29">
      <t>コウテキネンキン</t>
    </rPh>
    <rPh sb="29" eb="30">
      <t>トウ</t>
    </rPh>
    <rPh sb="30" eb="33">
      <t>コウジョガク</t>
    </rPh>
    <rPh sb="34" eb="37">
      <t>タイショウシャ</t>
    </rPh>
    <rPh sb="38" eb="39">
      <t>スク</t>
    </rPh>
    <rPh sb="48" eb="50">
      <t>ジョウヒョウ</t>
    </rPh>
    <rPh sb="49" eb="50">
      <t>ケイジョウ</t>
    </rPh>
    <rPh sb="55" eb="57">
      <t>マンエン</t>
    </rPh>
    <rPh sb="57" eb="59">
      <t>イカ</t>
    </rPh>
    <rPh sb="60" eb="62">
      <t>バアイ</t>
    </rPh>
    <rPh sb="63" eb="65">
      <t>ドウヨウ</t>
    </rPh>
    <rPh sb="66" eb="68">
      <t>サンシュツ</t>
    </rPh>
    <phoneticPr fontId="5"/>
  </si>
  <si>
    <t>年齢区分</t>
    <rPh sb="0" eb="2">
      <t>ネンレイ</t>
    </rPh>
    <rPh sb="2" eb="4">
      <t>クブン</t>
    </rPh>
    <phoneticPr fontId="5"/>
  </si>
  <si>
    <t>年金所得
※右表の
算出結果</t>
    <rPh sb="0" eb="2">
      <t>ネンキン</t>
    </rPh>
    <rPh sb="2" eb="4">
      <t>ショトク</t>
    </rPh>
    <phoneticPr fontId="5"/>
  </si>
  <si>
    <t>65 歳以上</t>
    <rPh sb="3" eb="4">
      <t>サイ</t>
    </rPh>
    <rPh sb="4" eb="6">
      <t>イジョウ</t>
    </rPh>
    <phoneticPr fontId="5"/>
  </si>
  <si>
    <t>64 歳以下</t>
    <rPh sb="3" eb="4">
      <t>サイ</t>
    </rPh>
    <rPh sb="4" eb="6">
      <t>イカ</t>
    </rPh>
    <phoneticPr fontId="5"/>
  </si>
  <si>
    <t>0：加入なし</t>
    <rPh sb="2" eb="4">
      <t>カニュウ</t>
    </rPh>
    <phoneticPr fontId="5"/>
  </si>
  <si>
    <r>
      <t>2：18歳到達後最初の３月31日</t>
    </r>
    <r>
      <rPr>
        <b/>
        <u val="double"/>
        <sz val="11"/>
        <color theme="1"/>
        <rFont val="BIZ UDゴシック"/>
        <family val="3"/>
        <charset val="128"/>
      </rPr>
      <t>以前</t>
    </r>
    <r>
      <rPr>
        <sz val="11"/>
        <color theme="1"/>
        <rFont val="BIZ UDゴシック"/>
        <family val="3"/>
        <charset val="128"/>
      </rPr>
      <t>の加入者</t>
    </r>
    <rPh sb="4" eb="5">
      <t>サイ</t>
    </rPh>
    <rPh sb="5" eb="8">
      <t>トウタツゴ</t>
    </rPh>
    <rPh sb="8" eb="10">
      <t>サイショ</t>
    </rPh>
    <rPh sb="12" eb="13">
      <t>ガツ</t>
    </rPh>
    <rPh sb="15" eb="16">
      <t>ニチ</t>
    </rPh>
    <rPh sb="16" eb="18">
      <t>イゼン</t>
    </rPh>
    <rPh sb="19" eb="22">
      <t>カニュウシャ</t>
    </rPh>
    <phoneticPr fontId="5"/>
  </si>
  <si>
    <t>年間国保税</t>
    <rPh sb="0" eb="5">
      <t>ネンカンコクホゼイ</t>
    </rPh>
    <phoneticPr fontId="5"/>
  </si>
  <si>
    <t>加入年月</t>
    <rPh sb="0" eb="4">
      <t>カニュウネンゲツ</t>
    </rPh>
    <phoneticPr fontId="5"/>
  </si>
  <si>
    <t>1：未就学児</t>
    <rPh sb="2" eb="6">
      <t>ミシュウガクジ</t>
    </rPh>
    <phoneticPr fontId="5"/>
  </si>
  <si>
    <t>3：40歳以上64歳以下の加入者</t>
    <phoneticPr fontId="5"/>
  </si>
  <si>
    <t>１か月あたり</t>
    <rPh sb="2" eb="3">
      <t>ツキ</t>
    </rPh>
    <phoneticPr fontId="5"/>
  </si>
  <si>
    <t>軽減判定</t>
    <rPh sb="0" eb="2">
      <t>ケイゲン</t>
    </rPh>
    <rPh sb="2" eb="4">
      <t>ハンテイ</t>
    </rPh>
    <phoneticPr fontId="5"/>
  </si>
  <si>
    <t>4：上記以外の加入者</t>
    <rPh sb="2" eb="4">
      <t>ジョウキ</t>
    </rPh>
    <rPh sb="4" eb="6">
      <t>イガイ</t>
    </rPh>
    <rPh sb="7" eb="10">
      <t>カニュウシャ</t>
    </rPh>
    <phoneticPr fontId="5"/>
  </si>
  <si>
    <t>子ども分</t>
    <rPh sb="0" eb="1">
      <t>コ</t>
    </rPh>
    <rPh sb="3" eb="4">
      <t>ブン</t>
    </rPh>
    <phoneticPr fontId="5"/>
  </si>
  <si>
    <t>加入期間</t>
    <rPh sb="0" eb="2">
      <t>カニュウ</t>
    </rPh>
    <rPh sb="2" eb="4">
      <t>キカン</t>
    </rPh>
    <phoneticPr fontId="5"/>
  </si>
  <si>
    <t>均等割</t>
    <rPh sb="0" eb="3">
      <t>キントウワリ</t>
    </rPh>
    <phoneticPr fontId="5"/>
  </si>
  <si>
    <t>平等割</t>
    <rPh sb="0" eb="3">
      <t>ビョウドウワリ</t>
    </rPh>
    <phoneticPr fontId="5"/>
  </si>
  <si>
    <t>小計</t>
    <rPh sb="0" eb="2">
      <t>ショウケイ</t>
    </rPh>
    <phoneticPr fontId="5"/>
  </si>
  <si>
    <t>限度額</t>
    <rPh sb="0" eb="3">
      <t>ゲンドガク</t>
    </rPh>
    <phoneticPr fontId="5"/>
  </si>
  <si>
    <t>対象期間</t>
    <rPh sb="0" eb="4">
      <t>タイショウキカン</t>
    </rPh>
    <phoneticPr fontId="5"/>
  </si>
  <si>
    <t>対象者</t>
    <rPh sb="0" eb="3">
      <t>タイショウシャ</t>
    </rPh>
    <phoneticPr fontId="5"/>
  </si>
  <si>
    <t>年齢</t>
    <rPh sb="0" eb="2">
      <t>ネンレイ</t>
    </rPh>
    <phoneticPr fontId="5"/>
  </si>
  <si>
    <t>資格区分</t>
    <rPh sb="0" eb="2">
      <t>シカク</t>
    </rPh>
    <rPh sb="2" eb="4">
      <t>クブン</t>
    </rPh>
    <phoneticPr fontId="5"/>
  </si>
  <si>
    <t>課税標準額</t>
    <rPh sb="0" eb="2">
      <t>カゼイ</t>
    </rPh>
    <rPh sb="2" eb="4">
      <t>ヒョウジュン</t>
    </rPh>
    <rPh sb="4" eb="5">
      <t>ガク</t>
    </rPh>
    <phoneticPr fontId="5"/>
  </si>
  <si>
    <t>子ども分</t>
    <phoneticPr fontId="5"/>
  </si>
  <si>
    <t>介護分</t>
    <phoneticPr fontId="5"/>
  </si>
  <si>
    <t>国保税額</t>
    <rPh sb="0" eb="4">
      <t>コクホゼイガク</t>
    </rPh>
    <phoneticPr fontId="5"/>
  </si>
  <si>
    <t>医療・後期・子ども</t>
    <rPh sb="0" eb="2">
      <t>イリョウ</t>
    </rPh>
    <rPh sb="3" eb="5">
      <t>コウキ</t>
    </rPh>
    <rPh sb="6" eb="7">
      <t>コ</t>
    </rPh>
    <phoneticPr fontId="5"/>
  </si>
  <si>
    <t>個人</t>
    <rPh sb="0" eb="2">
      <t>コジン</t>
    </rPh>
    <phoneticPr fontId="5"/>
  </si>
  <si>
    <t>月数</t>
    <rPh sb="0" eb="2">
      <t>ツキスウ</t>
    </rPh>
    <phoneticPr fontId="5"/>
  </si>
  <si>
    <t>昭和</t>
    <rPh sb="0" eb="2">
      <t>ショウワ</t>
    </rPh>
    <phoneticPr fontId="5"/>
  </si>
  <si>
    <t>平成</t>
    <rPh sb="0" eb="2">
      <t>ヘイセイ</t>
    </rPh>
    <phoneticPr fontId="5"/>
  </si>
  <si>
    <t>令和</t>
    <rPh sb="0" eb="2">
      <t>レイワ</t>
    </rPh>
    <phoneticPr fontId="5"/>
  </si>
  <si>
    <t>令和８年</t>
    <rPh sb="0" eb="2">
      <t>レイワ</t>
    </rPh>
    <rPh sb="3" eb="4">
      <t>ネン</t>
    </rPh>
    <phoneticPr fontId="5"/>
  </si>
  <si>
    <t>令和９年</t>
    <rPh sb="0" eb="2">
      <t>レイワ</t>
    </rPh>
    <rPh sb="3" eb="4">
      <t>ネン</t>
    </rPh>
    <phoneticPr fontId="5"/>
  </si>
  <si>
    <t>昭和_</t>
    <rPh sb="0" eb="2">
      <t>ショウワ</t>
    </rPh>
    <phoneticPr fontId="5"/>
  </si>
  <si>
    <t>月額</t>
    <rPh sb="0" eb="2">
      <t>ゲツガク</t>
    </rPh>
    <phoneticPr fontId="5"/>
  </si>
  <si>
    <t>年税額</t>
    <rPh sb="0" eb="3">
      <t>ネンゼイガク</t>
    </rPh>
    <phoneticPr fontId="4"/>
  </si>
  <si>
    <t>12か月分</t>
    <rPh sb="3" eb="4">
      <t>ゲツ</t>
    </rPh>
    <rPh sb="4" eb="5">
      <t>ブン</t>
    </rPh>
    <phoneticPr fontId="4"/>
  </si>
  <si>
    <t>②
1/1時点
65歳以上
0：該当なし
1：該当あり</t>
    <rPh sb="5" eb="7">
      <t>ジテン</t>
    </rPh>
    <rPh sb="10" eb="11">
      <t>サイ</t>
    </rPh>
    <rPh sb="11" eb="13">
      <t>イジョウ</t>
    </rPh>
    <rPh sb="16" eb="18">
      <t>ガイトウ</t>
    </rPh>
    <rPh sb="23" eb="25">
      <t>ガイトウ</t>
    </rPh>
    <phoneticPr fontId="5"/>
  </si>
  <si>
    <r>
      <rPr>
        <sz val="10"/>
        <color rgb="FFFF0000"/>
        <rFont val="BIZ UDゴシック"/>
        <family val="3"/>
        <charset val="128"/>
      </rPr>
      <t>43万円</t>
    </r>
    <r>
      <rPr>
        <sz val="10"/>
        <color theme="1"/>
        <rFont val="BIZ UDゴシック"/>
        <family val="3"/>
        <charset val="128"/>
      </rPr>
      <t>＋</t>
    </r>
    <r>
      <rPr>
        <sz val="10"/>
        <color theme="7" tint="-0.499984740745262"/>
        <rFont val="BIZ UDゴシック"/>
        <family val="3"/>
        <charset val="128"/>
      </rPr>
      <t>（31万円×被保険者数）</t>
    </r>
    <r>
      <rPr>
        <sz val="10"/>
        <color theme="1"/>
        <rFont val="BIZ UDゴシック"/>
        <family val="3"/>
        <charset val="128"/>
      </rPr>
      <t>＋｛10万円×（給与所得者等の数－１）｝</t>
    </r>
    <rPh sb="2" eb="4">
      <t>マンエン</t>
    </rPh>
    <rPh sb="8" eb="10">
      <t>マンエン</t>
    </rPh>
    <rPh sb="11" eb="15">
      <t>ヒホケンシャ</t>
    </rPh>
    <rPh sb="15" eb="16">
      <t>スウ</t>
    </rPh>
    <rPh sb="21" eb="23">
      <t>マンエン</t>
    </rPh>
    <rPh sb="25" eb="27">
      <t>キュウヨ</t>
    </rPh>
    <rPh sb="27" eb="30">
      <t>ショトクシャ</t>
    </rPh>
    <rPh sb="30" eb="31">
      <t>トウ</t>
    </rPh>
    <rPh sb="32" eb="33">
      <t>カズ</t>
    </rPh>
    <phoneticPr fontId="5"/>
  </si>
  <si>
    <r>
      <rPr>
        <sz val="10"/>
        <color rgb="FFFF0000"/>
        <rFont val="BIZ UDゴシック"/>
        <family val="3"/>
        <charset val="128"/>
      </rPr>
      <t>43万円</t>
    </r>
    <r>
      <rPr>
        <sz val="10"/>
        <color theme="1"/>
        <rFont val="BIZ UDゴシック"/>
        <family val="3"/>
        <charset val="128"/>
      </rPr>
      <t>＋｛10万円×（給与所得者等の数－１）｝</t>
    </r>
    <rPh sb="2" eb="4">
      <t>マンエン</t>
    </rPh>
    <rPh sb="8" eb="10">
      <t>マンエン</t>
    </rPh>
    <rPh sb="12" eb="14">
      <t>キュウヨ</t>
    </rPh>
    <rPh sb="14" eb="17">
      <t>ショトクシャ</t>
    </rPh>
    <rPh sb="17" eb="18">
      <t>トウ</t>
    </rPh>
    <rPh sb="19" eb="20">
      <t>カズ</t>
    </rPh>
    <phoneticPr fontId="5"/>
  </si>
  <si>
    <r>
      <rPr>
        <sz val="10"/>
        <color rgb="FFFF0000"/>
        <rFont val="BIZ UDゴシック"/>
        <family val="3"/>
        <charset val="128"/>
      </rPr>
      <t>43万円</t>
    </r>
    <r>
      <rPr>
        <sz val="10"/>
        <color theme="1"/>
        <rFont val="BIZ UDゴシック"/>
        <family val="3"/>
        <charset val="128"/>
      </rPr>
      <t>＋</t>
    </r>
    <r>
      <rPr>
        <sz val="10"/>
        <color theme="7" tint="-0.499984740745262"/>
        <rFont val="BIZ UDゴシック"/>
        <family val="3"/>
        <charset val="128"/>
      </rPr>
      <t>（57万円×被保険者数）</t>
    </r>
    <r>
      <rPr>
        <sz val="10"/>
        <color theme="1"/>
        <rFont val="BIZ UDゴシック"/>
        <family val="3"/>
        <charset val="128"/>
      </rPr>
      <t>＋｛10万円×（給与所得者等の数－１）｝</t>
    </r>
    <rPh sb="2" eb="4">
      <t>マンエン</t>
    </rPh>
    <rPh sb="8" eb="10">
      <t>マンエン</t>
    </rPh>
    <rPh sb="11" eb="15">
      <t>ヒホケンシャ</t>
    </rPh>
    <rPh sb="15" eb="16">
      <t>スウ</t>
    </rPh>
    <rPh sb="21" eb="23">
      <t>マンエン</t>
    </rPh>
    <rPh sb="25" eb="27">
      <t>キュウヨ</t>
    </rPh>
    <rPh sb="27" eb="30">
      <t>ショトクシャ</t>
    </rPh>
    <rPh sb="30" eb="31">
      <t>トウ</t>
    </rPh>
    <rPh sb="32" eb="33">
      <t>カズ</t>
    </rPh>
    <phoneticPr fontId="5"/>
  </si>
  <si>
    <t>②
給与収入</t>
    <rPh sb="3" eb="5">
      <t>キュウヨ</t>
    </rPh>
    <rPh sb="5" eb="7">
      <t>シュウニュウ</t>
    </rPh>
    <phoneticPr fontId="4"/>
  </si>
  <si>
    <t>③
年金収入</t>
    <rPh sb="3" eb="5">
      <t>ネンキン</t>
    </rPh>
    <rPh sb="5" eb="7">
      <t>シュウニュウ</t>
    </rPh>
    <phoneticPr fontId="4"/>
  </si>
  <si>
    <t>④
1/1時点
65歳以上
0：該当なし
1：該当あり</t>
    <rPh sb="5" eb="7">
      <t>ジテン</t>
    </rPh>
    <rPh sb="10" eb="11">
      <t>サイ</t>
    </rPh>
    <rPh sb="11" eb="13">
      <t>イジョウ</t>
    </rPh>
    <rPh sb="16" eb="18">
      <t>ガイトウ</t>
    </rPh>
    <rPh sb="23" eb="25">
      <t>ガイトウ</t>
    </rPh>
    <phoneticPr fontId="5"/>
  </si>
  <si>
    <t>⑤
非自発失業
0：該当なし
1：該当あり</t>
    <rPh sb="3" eb="6">
      <t>ヒジハツ</t>
    </rPh>
    <rPh sb="6" eb="8">
      <t>シツギョウ</t>
    </rPh>
    <rPh sb="11" eb="13">
      <t>ガイトウ</t>
    </rPh>
    <rPh sb="18" eb="20">
      <t>ガイトウ</t>
    </rPh>
    <phoneticPr fontId="5"/>
  </si>
  <si>
    <t>⑥
給与所得控除後の給与金額</t>
    <rPh sb="3" eb="5">
      <t>キュウヨ</t>
    </rPh>
    <rPh sb="5" eb="7">
      <t>ショトク</t>
    </rPh>
    <rPh sb="7" eb="9">
      <t>コウジョ</t>
    </rPh>
    <rPh sb="9" eb="10">
      <t>ゴ</t>
    </rPh>
    <rPh sb="11" eb="13">
      <t>キュウヨ</t>
    </rPh>
    <rPh sb="13" eb="15">
      <t>キンガク</t>
    </rPh>
    <phoneticPr fontId="5"/>
  </si>
  <si>
    <t>⑦
非自発的失業者給与所得控除後の給与金額</t>
    <rPh sb="3" eb="4">
      <t>ヒ</t>
    </rPh>
    <rPh sb="4" eb="7">
      <t>ジハツテキ</t>
    </rPh>
    <rPh sb="7" eb="10">
      <t>シツギョウシャ</t>
    </rPh>
    <rPh sb="10" eb="12">
      <t>キュウヨ</t>
    </rPh>
    <rPh sb="12" eb="14">
      <t>ショトク</t>
    </rPh>
    <rPh sb="14" eb="16">
      <t>コウジョ</t>
    </rPh>
    <rPh sb="16" eb="17">
      <t>ゴ</t>
    </rPh>
    <rPh sb="18" eb="20">
      <t>キュウヨ</t>
    </rPh>
    <rPh sb="20" eb="22">
      <t>キンガク</t>
    </rPh>
    <phoneticPr fontId="5"/>
  </si>
  <si>
    <t>⑧
所得金額調整控除（年金等）額</t>
    <rPh sb="3" eb="5">
      <t>ショトク</t>
    </rPh>
    <rPh sb="5" eb="7">
      <t>キンガク</t>
    </rPh>
    <rPh sb="7" eb="9">
      <t>チョウセイ</t>
    </rPh>
    <rPh sb="9" eb="11">
      <t>コウジョ</t>
    </rPh>
    <rPh sb="12" eb="14">
      <t>ネンキン</t>
    </rPh>
    <rPh sb="14" eb="15">
      <t>トウ</t>
    </rPh>
    <rPh sb="16" eb="17">
      <t>ガク</t>
    </rPh>
    <phoneticPr fontId="5"/>
  </si>
  <si>
    <t>⑨
給与所得</t>
    <rPh sb="3" eb="5">
      <t>キュウヨ</t>
    </rPh>
    <rPh sb="5" eb="7">
      <t>ショトク</t>
    </rPh>
    <phoneticPr fontId="5"/>
  </si>
  <si>
    <t>⑩
年金所得</t>
    <rPh sb="3" eb="5">
      <t>ネンキン</t>
    </rPh>
    <rPh sb="5" eb="7">
      <t>ショトク</t>
    </rPh>
    <phoneticPr fontId="5"/>
  </si>
  <si>
    <t>⑪
年金所得の軽減判定用特例控除（最大15万円）</t>
    <rPh sb="3" eb="5">
      <t>ネンキン</t>
    </rPh>
    <rPh sb="5" eb="7">
      <t>ショトク</t>
    </rPh>
    <rPh sb="8" eb="12">
      <t>ケイゲンハンテイ</t>
    </rPh>
    <rPh sb="12" eb="13">
      <t>ヨウ</t>
    </rPh>
    <rPh sb="13" eb="15">
      <t>トクレイ</t>
    </rPh>
    <rPh sb="15" eb="17">
      <t>コウジョ</t>
    </rPh>
    <rPh sb="18" eb="20">
      <t>サイダイ</t>
    </rPh>
    <rPh sb="22" eb="24">
      <t>マンエン</t>
    </rPh>
    <phoneticPr fontId="5"/>
  </si>
  <si>
    <t xml:space="preserve">⑫
軽減判定用の年金所得
</t>
    <rPh sb="3" eb="5">
      <t>ケイゲン</t>
    </rPh>
    <rPh sb="5" eb="7">
      <t>ハンテイ</t>
    </rPh>
    <rPh sb="7" eb="8">
      <t>ヨウ</t>
    </rPh>
    <rPh sb="9" eb="11">
      <t>ネンキン</t>
    </rPh>
    <rPh sb="11" eb="13">
      <t>ショトク</t>
    </rPh>
    <phoneticPr fontId="5"/>
  </si>
  <si>
    <t>⑬
その他所得</t>
    <rPh sb="5" eb="6">
      <t>タ</t>
    </rPh>
    <rPh sb="6" eb="8">
      <t>ショトク</t>
    </rPh>
    <phoneticPr fontId="5"/>
  </si>
  <si>
    <t>⑭
軽減判定用所得金額
⑨+⑫+⑬</t>
    <rPh sb="3" eb="5">
      <t>ケイゲン</t>
    </rPh>
    <rPh sb="5" eb="7">
      <t>ハンテイ</t>
    </rPh>
    <rPh sb="7" eb="8">
      <t>ヨウ</t>
    </rPh>
    <rPh sb="8" eb="10">
      <t>ショトク</t>
    </rPh>
    <rPh sb="10" eb="12">
      <t>キンガク</t>
    </rPh>
    <phoneticPr fontId="5"/>
  </si>
  <si>
    <t>給与
所得者等
0：該当なし
1：該当あり</t>
    <rPh sb="0" eb="2">
      <t>キュウヨ</t>
    </rPh>
    <rPh sb="3" eb="5">
      <t>ショトク</t>
    </rPh>
    <rPh sb="5" eb="6">
      <t>シャ</t>
    </rPh>
    <rPh sb="6" eb="7">
      <t>トウ</t>
    </rPh>
    <rPh sb="10" eb="12">
      <t>ガイトウ</t>
    </rPh>
    <rPh sb="17" eb="19">
      <t>ガイトウ</t>
    </rPh>
    <phoneticPr fontId="5"/>
  </si>
  <si>
    <r>
      <t>1日生まれは</t>
    </r>
    <r>
      <rPr>
        <b/>
        <sz val="8"/>
        <color theme="1"/>
        <rFont val="BIZ UDゴシック"/>
        <family val="3"/>
        <charset val="128"/>
      </rPr>
      <t>前月まで</t>
    </r>
    <r>
      <rPr>
        <sz val="8"/>
        <color theme="1"/>
        <rFont val="BIZ UDゴシック"/>
        <family val="3"/>
        <charset val="128"/>
      </rPr>
      <t>発生</t>
    </r>
    <rPh sb="1" eb="2">
      <t>ニチ</t>
    </rPh>
    <rPh sb="2" eb="3">
      <t>ウ</t>
    </rPh>
    <rPh sb="6" eb="8">
      <t>ゼンゲツ</t>
    </rPh>
    <rPh sb="10" eb="12">
      <t>ハッセイ</t>
    </rPh>
    <phoneticPr fontId="5"/>
  </si>
  <si>
    <t>★</t>
    <phoneticPr fontId="4"/>
  </si>
  <si>
    <t>★資格区分の説明</t>
    <rPh sb="1" eb="3">
      <t>シカク</t>
    </rPh>
    <rPh sb="3" eb="5">
      <t>クブン</t>
    </rPh>
    <rPh sb="6" eb="8">
      <t>セツメイ</t>
    </rPh>
    <phoneticPr fontId="5"/>
  </si>
  <si>
    <t>1/12か月</t>
    <rPh sb="5" eb="6">
      <t>ツキ</t>
    </rPh>
    <phoneticPr fontId="4"/>
  </si>
  <si>
    <t>課税標準額</t>
    <rPh sb="0" eb="2">
      <t>カゼイ</t>
    </rPh>
    <rPh sb="2" eb="5">
      <t>ヒョウジュンガク</t>
    </rPh>
    <phoneticPr fontId="5"/>
  </si>
  <si>
    <t>1か月あたりの保険税</t>
    <rPh sb="2" eb="3">
      <t>ゲツ</t>
    </rPh>
    <rPh sb="7" eb="10">
      <t>ホケンゼイ</t>
    </rPh>
    <phoneticPr fontId="5"/>
  </si>
  <si>
    <t>(最大43万円)</t>
    <rPh sb="1" eb="3">
      <t>サイダイ</t>
    </rPh>
    <rPh sb="5" eb="6">
      <t>マン</t>
    </rPh>
    <rPh sb="6" eb="7">
      <t>エン</t>
    </rPh>
    <phoneticPr fontId="5"/>
  </si>
  <si>
    <t>加入する</t>
  </si>
  <si>
    <t>平成</t>
  </si>
  <si>
    <t>令和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</si>
</sst>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円&quot;"/>
    <numFmt numFmtId="177" formatCode="#,###&quot;円&quot;"/>
    <numFmt numFmtId="178" formatCode="0&quot;人&quot;"/>
    <numFmt numFmtId="179" formatCode="0&quot; 割軽減&quot;"/>
    <numFmt numFmtId="180" formatCode="#,##0;&quot;▲ &quot;#,###&quot;円&quot;"/>
    <numFmt numFmtId="181" formatCode="0&quot;月&quot;"/>
    <numFmt numFmtId="182" formatCode="m&quot;月&quot;"/>
    <numFmt numFmtId="183" formatCode="0&quot;割軽減&quot;"/>
    <numFmt numFmtId="184" formatCode="#,##0_ "/>
    <numFmt numFmtId="185" formatCode="0&quot;か月&quot;"/>
    <numFmt numFmtId="186" formatCode="0&quot;か月分&quot;"/>
  </numFmts>
  <fonts count="47">
    <font>
      <sz val="11"/>
      <color theme="1"/>
      <name val="Yu Gothic"/>
      <family val="2"/>
      <scheme val="minor"/>
    </font>
    <font>
      <sz val="11"/>
      <color theme="1"/>
      <name val="Yu Gothic"/>
      <family val="2"/>
      <charset val="128"/>
      <scheme val="minor"/>
    </font>
    <font>
      <sz val="11"/>
      <color rgb="FFFF0000"/>
      <name val="Yu Gothic"/>
      <family val="2"/>
      <charset val="128"/>
      <scheme val="minor"/>
    </font>
    <font>
      <sz val="11"/>
      <color theme="1"/>
      <name val="BIZ UDゴシック"/>
      <family val="3"/>
      <charset val="128"/>
    </font>
    <font>
      <sz val="6"/>
      <name val="Yu Gothic"/>
      <family val="3"/>
      <charset val="128"/>
      <scheme val="minor"/>
    </font>
    <font>
      <sz val="6"/>
      <name val="Yu Gothic"/>
      <family val="2"/>
      <charset val="128"/>
      <scheme val="minor"/>
    </font>
    <font>
      <sz val="12"/>
      <color theme="1"/>
      <name val="BIZ UDゴシック"/>
      <family val="3"/>
      <charset val="128"/>
    </font>
    <font>
      <b/>
      <sz val="11"/>
      <color theme="1"/>
      <name val="BIZ UDゴシック"/>
      <family val="3"/>
      <charset val="128"/>
    </font>
    <font>
      <b/>
      <sz val="14"/>
      <color rgb="FFFF0000"/>
      <name val="BIZ UDゴシック"/>
      <family val="3"/>
      <charset val="128"/>
    </font>
    <font>
      <u/>
      <sz val="11"/>
      <color theme="10"/>
      <name val="Yu Gothic"/>
      <family val="2"/>
      <charset val="128"/>
      <scheme val="minor"/>
    </font>
    <font>
      <b/>
      <sz val="9"/>
      <color theme="1"/>
      <name val="BIZ UDゴシック"/>
      <family val="3"/>
      <charset val="128"/>
    </font>
    <font>
      <b/>
      <sz val="10"/>
      <name val="BIZ UDゴシック"/>
      <family val="3"/>
      <charset val="128"/>
    </font>
    <font>
      <sz val="11"/>
      <color theme="0"/>
      <name val="BIZ UDゴシック"/>
      <family val="3"/>
      <charset val="128"/>
    </font>
    <font>
      <b/>
      <sz val="11"/>
      <color rgb="FFA20000"/>
      <name val="BIZ UDゴシック"/>
      <family val="3"/>
      <charset val="128"/>
    </font>
    <font>
      <b/>
      <sz val="10"/>
      <color theme="1"/>
      <name val="BIZ UDゴシック"/>
      <family val="3"/>
      <charset val="128"/>
    </font>
    <font>
      <b/>
      <sz val="11"/>
      <color rgb="FFFF0000"/>
      <name val="BIZ UDゴシック"/>
      <family val="3"/>
      <charset val="128"/>
    </font>
    <font>
      <b/>
      <sz val="11"/>
      <color theme="0"/>
      <name val="BIZ UDゴシック"/>
      <family val="3"/>
      <charset val="128"/>
    </font>
    <font>
      <sz val="11"/>
      <name val="BIZ UDゴシック"/>
      <family val="3"/>
      <charset val="128"/>
    </font>
    <font>
      <sz val="14"/>
      <color theme="1"/>
      <name val="BIZ UDゴシック"/>
      <family val="3"/>
      <charset val="128"/>
    </font>
    <font>
      <b/>
      <sz val="12"/>
      <color rgb="FFFF0000"/>
      <name val="BIZ UDゴシック"/>
      <family val="3"/>
      <charset val="128"/>
    </font>
    <font>
      <sz val="10"/>
      <color theme="1"/>
      <name val="BIZ UDゴシック"/>
      <family val="3"/>
      <charset val="128"/>
    </font>
    <font>
      <b/>
      <sz val="12"/>
      <color theme="1"/>
      <name val="BIZ UDゴシック"/>
      <family val="3"/>
      <charset val="128"/>
    </font>
    <font>
      <sz val="9"/>
      <color theme="1"/>
      <name val="BIZ UDゴシック"/>
      <family val="3"/>
      <charset val="128"/>
    </font>
    <font>
      <sz val="11"/>
      <color rgb="FFFF0000"/>
      <name val="BIZ UDゴシック"/>
      <family val="3"/>
      <charset val="128"/>
    </font>
    <font>
      <sz val="12"/>
      <color rgb="FFFF0000"/>
      <name val="BIZ UDゴシック"/>
      <family val="3"/>
      <charset val="128"/>
    </font>
    <font>
      <b/>
      <sz val="14"/>
      <color theme="1"/>
      <name val="BIZ UDゴシック"/>
      <family val="3"/>
      <charset val="128"/>
    </font>
    <font>
      <b/>
      <sz val="18"/>
      <color theme="1"/>
      <name val="BIZ UDゴシック"/>
      <family val="3"/>
      <charset val="128"/>
    </font>
    <font>
      <b/>
      <sz val="16"/>
      <color theme="1"/>
      <name val="BIZ UDゴシック"/>
      <family val="3"/>
      <charset val="128"/>
    </font>
    <font>
      <b/>
      <sz val="16"/>
      <color rgb="FFFF0000"/>
      <name val="BIZ UDゴシック"/>
      <family val="3"/>
      <charset val="128"/>
    </font>
    <font>
      <sz val="14"/>
      <color rgb="FFFF0000"/>
      <name val="BIZ UDゴシック"/>
      <family val="3"/>
      <charset val="128"/>
    </font>
    <font>
      <sz val="14"/>
      <color rgb="FF0070C0"/>
      <name val="BIZ UDゴシック"/>
      <family val="3"/>
      <charset val="128"/>
    </font>
    <font>
      <sz val="18"/>
      <color theme="1"/>
      <name val="BIZ UDゴシック"/>
      <family val="3"/>
      <charset val="128"/>
    </font>
    <font>
      <sz val="10"/>
      <color rgb="FFFF0000"/>
      <name val="BIZ UDゴシック"/>
      <family val="3"/>
      <charset val="128"/>
    </font>
    <font>
      <sz val="10"/>
      <color theme="7" tint="-0.499984740745262"/>
      <name val="BIZ UDゴシック"/>
      <family val="3"/>
      <charset val="128"/>
    </font>
    <font>
      <sz val="11"/>
      <color rgb="FFA20000"/>
      <name val="BIZ UDゴシック"/>
      <family val="3"/>
      <charset val="128"/>
    </font>
    <font>
      <sz val="11"/>
      <color theme="7" tint="-0.499984740745262"/>
      <name val="BIZ UDゴシック"/>
      <family val="3"/>
      <charset val="128"/>
    </font>
    <font>
      <sz val="10"/>
      <name val="BIZ UDゴシック"/>
      <family val="3"/>
      <charset val="128"/>
    </font>
    <font>
      <sz val="16"/>
      <color theme="1"/>
      <name val="BIZ UDゴシック"/>
      <family val="3"/>
      <charset val="128"/>
    </font>
    <font>
      <sz val="11"/>
      <color theme="4"/>
      <name val="BIZ UDゴシック"/>
      <family val="3"/>
      <charset val="128"/>
    </font>
    <font>
      <b/>
      <u val="double"/>
      <sz val="11"/>
      <color theme="1"/>
      <name val="BIZ UDゴシック"/>
      <family val="3"/>
      <charset val="128"/>
    </font>
    <font>
      <sz val="11"/>
      <color theme="2"/>
      <name val="BIZ UDゴシック"/>
      <family val="3"/>
      <charset val="128"/>
    </font>
    <font>
      <b/>
      <sz val="20"/>
      <color theme="1"/>
      <name val="BIZ UDゴシック"/>
      <family val="3"/>
      <charset val="128"/>
    </font>
    <font>
      <b/>
      <sz val="12"/>
      <color rgb="FFC00000"/>
      <name val="BIZ UDゴシック"/>
      <family val="3"/>
      <charset val="128"/>
    </font>
    <font>
      <sz val="8"/>
      <color theme="1"/>
      <name val="BIZ UDゴシック"/>
      <family val="3"/>
      <charset val="128"/>
    </font>
    <font>
      <b/>
      <sz val="8"/>
      <color theme="1"/>
      <name val="BIZ UDゴシック"/>
      <family val="3"/>
      <charset val="128"/>
    </font>
    <font>
      <b/>
      <sz val="9"/>
      <color rgb="FFFF0000"/>
      <name val="BIZ UDゴシック"/>
      <family val="3"/>
      <charset val="128"/>
    </font>
    <font>
      <u/>
      <sz val="24"/>
      <color theme="10"/>
      <name val="BIZ UDPゴシック"/>
      <family val="3"/>
      <charset val="128"/>
    </font>
  </fonts>
  <fills count="18">
    <fill>
      <patternFill patternType="none"/>
    </fill>
    <fill>
      <patternFill patternType="gray125"/>
    </fill>
    <fill>
      <patternFill patternType="solid">
        <fgColor rgb="FFFF99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8" tint="0.59999389629810485"/>
        <bgColor indexed="64"/>
      </patternFill>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64"/>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ck">
        <color indexed="64"/>
      </left>
      <right style="thin">
        <color indexed="64"/>
      </right>
      <top style="thin">
        <color indexed="64"/>
      </top>
      <bottom style="double">
        <color indexed="64"/>
      </bottom>
      <diagonal/>
    </border>
    <border>
      <left style="thin">
        <color indexed="64"/>
      </left>
      <right style="thick">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ck">
        <color indexed="64"/>
      </right>
      <top/>
      <bottom/>
      <diagonal/>
    </border>
    <border>
      <left style="thick">
        <color indexed="64"/>
      </left>
      <right style="thin">
        <color indexed="64"/>
      </right>
      <top/>
      <bottom style="thin">
        <color indexed="64"/>
      </bottom>
      <diagonal/>
    </border>
    <border>
      <left style="thick">
        <color indexed="64"/>
      </left>
      <right style="thin">
        <color indexed="64"/>
      </right>
      <top style="double">
        <color indexed="64"/>
      </top>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thick">
        <color indexed="64"/>
      </top>
      <bottom/>
      <diagonal/>
    </border>
  </borders>
  <cellStyleXfs count="5">
    <xf numFmtId="0" fontId="0" fillId="0" borderId="0"/>
    <xf numFmtId="0" fontId="1" fillId="0" borderId="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31">
    <xf numFmtId="0" fontId="0" fillId="0" borderId="0" xfId="0"/>
    <xf numFmtId="0" fontId="3" fillId="0" borderId="0" xfId="1" applyFont="1">
      <alignment vertical="center"/>
    </xf>
    <xf numFmtId="14" fontId="3" fillId="0" borderId="0" xfId="1" applyNumberFormat="1" applyFont="1">
      <alignment vertical="center"/>
    </xf>
    <xf numFmtId="0" fontId="7" fillId="0" borderId="0" xfId="1" applyFont="1">
      <alignment vertical="center"/>
    </xf>
    <xf numFmtId="0" fontId="8" fillId="0" borderId="3" xfId="1" applyFont="1" applyBorder="1" applyAlignment="1" applyProtection="1">
      <alignment horizontal="center" vertical="center"/>
      <protection locked="0"/>
    </xf>
    <xf numFmtId="0" fontId="3" fillId="0" borderId="0" xfId="1" applyFont="1" applyAlignment="1">
      <alignment horizontal="center" vertical="center"/>
    </xf>
    <xf numFmtId="0" fontId="3" fillId="0" borderId="0" xfId="1" quotePrefix="1" applyFont="1">
      <alignment vertical="center"/>
    </xf>
    <xf numFmtId="0" fontId="3" fillId="0" borderId="0" xfId="1" applyFont="1" applyProtection="1">
      <alignment vertical="center"/>
    </xf>
    <xf numFmtId="0" fontId="9" fillId="0" borderId="0" xfId="2" applyAlignment="1" applyProtection="1">
      <alignment vertical="center"/>
    </xf>
    <xf numFmtId="0" fontId="7" fillId="0" borderId="0" xfId="1" applyFont="1" applyAlignment="1">
      <alignment vertical="center"/>
    </xf>
    <xf numFmtId="0" fontId="7" fillId="0" borderId="0" xfId="1" applyFont="1" applyAlignment="1">
      <alignment horizontal="center" vertical="center"/>
    </xf>
    <xf numFmtId="0" fontId="3" fillId="0" borderId="8" xfId="1" applyFont="1" applyBorder="1">
      <alignment vertical="center"/>
    </xf>
    <xf numFmtId="0" fontId="7" fillId="0" borderId="1"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3" fillId="0" borderId="0" xfId="1" applyFont="1" applyAlignment="1">
      <alignment vertical="center" shrinkToFit="1"/>
    </xf>
    <xf numFmtId="0" fontId="3" fillId="0" borderId="9" xfId="1" applyFont="1" applyBorder="1" applyAlignment="1" applyProtection="1">
      <alignment horizontal="center" vertical="center" shrinkToFit="1"/>
      <protection locked="0"/>
    </xf>
    <xf numFmtId="0" fontId="12" fillId="0" borderId="0" xfId="1" applyFont="1">
      <alignment vertical="center"/>
    </xf>
    <xf numFmtId="0" fontId="6" fillId="0" borderId="0" xfId="1" applyFont="1">
      <alignment vertical="center"/>
    </xf>
    <xf numFmtId="0" fontId="13" fillId="0" borderId="0" xfId="1" applyFont="1">
      <alignment vertical="center"/>
    </xf>
    <xf numFmtId="58" fontId="14" fillId="0" borderId="0" xfId="1" applyNumberFormat="1" applyFont="1">
      <alignment vertical="center"/>
    </xf>
    <xf numFmtId="0" fontId="7" fillId="0" borderId="0" xfId="1" applyFont="1" applyAlignment="1">
      <alignment horizontal="left" vertical="center"/>
    </xf>
    <xf numFmtId="0" fontId="15" fillId="0" borderId="0" xfId="1" applyFont="1">
      <alignment vertical="center"/>
    </xf>
    <xf numFmtId="0" fontId="15" fillId="0" borderId="0" xfId="1" applyFont="1" applyAlignment="1">
      <alignment horizontal="center" vertical="center"/>
    </xf>
    <xf numFmtId="0" fontId="16" fillId="0" borderId="0" xfId="1" applyFont="1">
      <alignment vertical="center"/>
    </xf>
    <xf numFmtId="0" fontId="3" fillId="0" borderId="0" xfId="1" applyFont="1" applyAlignment="1">
      <alignment horizontal="left" vertical="center"/>
    </xf>
    <xf numFmtId="0" fontId="17" fillId="0" borderId="0" xfId="1" applyFont="1">
      <alignment vertical="center"/>
    </xf>
    <xf numFmtId="0" fontId="7" fillId="2" borderId="10" xfId="1" applyFont="1" applyFill="1" applyBorder="1" applyAlignment="1">
      <alignment horizontal="left" vertical="center"/>
    </xf>
    <xf numFmtId="38" fontId="7" fillId="3" borderId="10" xfId="1" applyNumberFormat="1" applyFont="1" applyFill="1" applyBorder="1">
      <alignment vertical="center"/>
    </xf>
    <xf numFmtId="38" fontId="7" fillId="4" borderId="10" xfId="1" applyNumberFormat="1" applyFont="1" applyFill="1" applyBorder="1">
      <alignment vertical="center"/>
    </xf>
    <xf numFmtId="0" fontId="3" fillId="5" borderId="10" xfId="1" applyFont="1" applyFill="1" applyBorder="1" applyAlignment="1">
      <alignment horizontal="center" vertical="center"/>
    </xf>
    <xf numFmtId="0" fontId="3" fillId="2" borderId="10" xfId="1" applyFont="1" applyFill="1" applyBorder="1" applyAlignment="1">
      <alignment horizontal="left" vertical="center"/>
    </xf>
    <xf numFmtId="0" fontId="7" fillId="2" borderId="7" xfId="1" applyFont="1" applyFill="1" applyBorder="1" applyAlignment="1">
      <alignment horizontal="left" vertical="center"/>
    </xf>
    <xf numFmtId="38" fontId="7" fillId="3" borderId="7" xfId="1" applyNumberFormat="1" applyFont="1" applyFill="1" applyBorder="1">
      <alignment vertical="center"/>
    </xf>
    <xf numFmtId="38" fontId="7" fillId="4" borderId="7" xfId="1" applyNumberFormat="1" applyFont="1" applyFill="1" applyBorder="1">
      <alignment vertical="center"/>
    </xf>
    <xf numFmtId="0" fontId="3" fillId="5" borderId="13" xfId="1" applyFont="1" applyFill="1" applyBorder="1" applyAlignment="1">
      <alignment horizontal="center" vertical="center"/>
    </xf>
    <xf numFmtId="0" fontId="3" fillId="0" borderId="13" xfId="1" applyFont="1" applyBorder="1">
      <alignment vertical="center"/>
    </xf>
    <xf numFmtId="0" fontId="20" fillId="0" borderId="0" xfId="1" applyFont="1">
      <alignment vertical="center"/>
    </xf>
    <xf numFmtId="0" fontId="3" fillId="0" borderId="10" xfId="1" applyFont="1" applyBorder="1">
      <alignment vertical="center"/>
    </xf>
    <xf numFmtId="38" fontId="7" fillId="2" borderId="7" xfId="1" applyNumberFormat="1" applyFont="1" applyFill="1" applyBorder="1">
      <alignment vertical="center"/>
    </xf>
    <xf numFmtId="0" fontId="3" fillId="5" borderId="13" xfId="1" applyFont="1" applyFill="1" applyBorder="1">
      <alignment vertical="center"/>
    </xf>
    <xf numFmtId="0" fontId="8" fillId="0" borderId="0" xfId="1" applyFont="1">
      <alignment vertical="center"/>
    </xf>
    <xf numFmtId="0" fontId="1" fillId="0" borderId="0" xfId="1">
      <alignment vertical="center"/>
    </xf>
    <xf numFmtId="0" fontId="23" fillId="0" borderId="0" xfId="1" applyFont="1">
      <alignment vertical="center"/>
    </xf>
    <xf numFmtId="0" fontId="3" fillId="0" borderId="0" xfId="1" applyFont="1" applyAlignment="1">
      <alignment vertical="center" wrapText="1"/>
    </xf>
    <xf numFmtId="0" fontId="24" fillId="0" borderId="0" xfId="1" applyFont="1">
      <alignment vertical="center"/>
    </xf>
    <xf numFmtId="0" fontId="18" fillId="0" borderId="14" xfId="1" applyFont="1" applyBorder="1" applyAlignment="1">
      <alignment vertical="center" shrinkToFit="1"/>
    </xf>
    <xf numFmtId="0" fontId="18" fillId="0" borderId="16" xfId="1" applyFont="1" applyBorder="1" applyAlignment="1">
      <alignment vertical="center" shrinkToFit="1"/>
    </xf>
    <xf numFmtId="0" fontId="18" fillId="0" borderId="0" xfId="1" applyFont="1">
      <alignment vertical="center"/>
    </xf>
    <xf numFmtId="0" fontId="18" fillId="0" borderId="0" xfId="1" applyFont="1" applyAlignment="1">
      <alignment vertical="center" shrinkToFit="1"/>
    </xf>
    <xf numFmtId="0" fontId="26" fillId="0" borderId="0" xfId="1" applyFont="1" applyAlignment="1">
      <alignment vertical="center" shrinkToFit="1"/>
    </xf>
    <xf numFmtId="0" fontId="18" fillId="0" borderId="18" xfId="1" applyFont="1" applyBorder="1" applyAlignment="1">
      <alignment vertical="center" shrinkToFit="1"/>
    </xf>
    <xf numFmtId="0" fontId="18" fillId="6" borderId="19" xfId="1" applyFont="1" applyFill="1" applyBorder="1" applyAlignment="1">
      <alignment vertical="center" shrinkToFit="1"/>
    </xf>
    <xf numFmtId="177" fontId="18" fillId="6" borderId="20" xfId="3" applyNumberFormat="1" applyFont="1" applyFill="1" applyBorder="1" applyAlignment="1">
      <alignment vertical="center" shrinkToFit="1"/>
    </xf>
    <xf numFmtId="0" fontId="18" fillId="6" borderId="20" xfId="1" applyFont="1" applyFill="1" applyBorder="1" applyAlignment="1">
      <alignment horizontal="center" vertical="center" shrinkToFit="1"/>
    </xf>
    <xf numFmtId="177" fontId="18" fillId="6" borderId="20" xfId="3" applyNumberFormat="1" applyFont="1" applyFill="1" applyBorder="1" applyAlignment="1">
      <alignment horizontal="right" vertical="center" shrinkToFit="1"/>
    </xf>
    <xf numFmtId="0" fontId="18" fillId="6" borderId="20" xfId="1" applyFont="1" applyFill="1" applyBorder="1" applyAlignment="1">
      <alignment vertical="center" shrinkToFit="1"/>
    </xf>
    <xf numFmtId="0" fontId="18" fillId="0" borderId="19" xfId="1" applyFont="1" applyBorder="1" applyAlignment="1">
      <alignment vertical="center" shrinkToFit="1"/>
    </xf>
    <xf numFmtId="177" fontId="18" fillId="0" borderId="20" xfId="3" applyNumberFormat="1" applyFont="1" applyBorder="1" applyAlignment="1">
      <alignment vertical="center" shrinkToFit="1"/>
    </xf>
    <xf numFmtId="0" fontId="18" fillId="0" borderId="20" xfId="1" applyFont="1" applyBorder="1" applyAlignment="1">
      <alignment horizontal="center" vertical="center" shrinkToFit="1"/>
    </xf>
    <xf numFmtId="177" fontId="18" fillId="0" borderId="20" xfId="3" applyNumberFormat="1" applyFont="1" applyBorder="1" applyAlignment="1">
      <alignment horizontal="right" vertical="center" shrinkToFit="1"/>
    </xf>
    <xf numFmtId="0" fontId="18" fillId="0" borderId="20" xfId="1" applyFont="1" applyBorder="1" applyAlignment="1">
      <alignment vertical="center" shrinkToFit="1"/>
    </xf>
    <xf numFmtId="0" fontId="18" fillId="0" borderId="21" xfId="1" applyFont="1" applyBorder="1" applyAlignment="1">
      <alignment vertical="center" shrinkToFit="1"/>
    </xf>
    <xf numFmtId="0" fontId="18" fillId="0" borderId="23" xfId="1" applyFont="1" applyBorder="1" applyAlignment="1">
      <alignment vertical="center" shrinkToFit="1"/>
    </xf>
    <xf numFmtId="177" fontId="18" fillId="0" borderId="24" xfId="3" applyNumberFormat="1" applyFont="1" applyBorder="1" applyAlignment="1">
      <alignment vertical="center" shrinkToFit="1"/>
    </xf>
    <xf numFmtId="0" fontId="18" fillId="0" borderId="24" xfId="1" applyFont="1" applyBorder="1" applyAlignment="1">
      <alignment horizontal="center" vertical="center" shrinkToFit="1"/>
    </xf>
    <xf numFmtId="177" fontId="18" fillId="0" borderId="24" xfId="3" applyNumberFormat="1" applyFont="1" applyBorder="1" applyAlignment="1">
      <alignment horizontal="right" vertical="center" shrinkToFit="1"/>
    </xf>
    <xf numFmtId="0" fontId="18" fillId="0" borderId="24" xfId="1" applyFont="1" applyBorder="1" applyAlignment="1">
      <alignment vertical="center" shrinkToFit="1"/>
    </xf>
    <xf numFmtId="0" fontId="18" fillId="0" borderId="5" xfId="1" applyFont="1" applyBorder="1" applyAlignment="1">
      <alignment vertical="center" shrinkToFit="1"/>
    </xf>
    <xf numFmtId="0" fontId="25" fillId="0" borderId="5" xfId="1" applyFont="1" applyBorder="1" applyAlignment="1">
      <alignment horizontal="left" vertical="center" shrinkToFit="1"/>
    </xf>
    <xf numFmtId="0" fontId="18" fillId="0" borderId="5" xfId="1" applyFont="1" applyBorder="1" applyAlignment="1">
      <alignment horizontal="left" vertical="center" shrinkToFit="1"/>
    </xf>
    <xf numFmtId="0" fontId="18" fillId="0" borderId="25" xfId="1" applyFont="1" applyBorder="1" applyAlignment="1">
      <alignment horizontal="left" vertical="center" shrinkToFit="1"/>
    </xf>
    <xf numFmtId="0" fontId="18" fillId="0" borderId="26" xfId="1" applyFont="1" applyBorder="1" applyAlignment="1">
      <alignment vertical="center" shrinkToFit="1"/>
    </xf>
    <xf numFmtId="0" fontId="18" fillId="0" borderId="27" xfId="1" applyFont="1" applyBorder="1" applyAlignment="1">
      <alignment vertical="center" shrinkToFit="1"/>
    </xf>
    <xf numFmtId="177" fontId="25" fillId="0" borderId="27" xfId="1" applyNumberFormat="1" applyFont="1" applyBorder="1" applyAlignment="1">
      <alignment vertical="center" shrinkToFit="1"/>
    </xf>
    <xf numFmtId="0" fontId="18" fillId="0" borderId="27" xfId="1" applyFont="1" applyBorder="1" applyAlignment="1">
      <alignment horizontal="center" vertical="center" shrinkToFit="1"/>
    </xf>
    <xf numFmtId="178" fontId="18" fillId="0" borderId="27" xfId="1" applyNumberFormat="1" applyFont="1" applyBorder="1" applyAlignment="1">
      <alignment vertical="center" shrinkToFit="1"/>
    </xf>
    <xf numFmtId="177" fontId="18" fillId="0" borderId="27" xfId="1" applyNumberFormat="1" applyFont="1" applyBorder="1" applyAlignment="1">
      <alignment vertical="center" shrinkToFit="1"/>
    </xf>
    <xf numFmtId="0" fontId="18" fillId="6" borderId="23" xfId="1" applyFont="1" applyFill="1" applyBorder="1" applyAlignment="1">
      <alignment vertical="center" shrinkToFit="1"/>
    </xf>
    <xf numFmtId="179" fontId="18" fillId="6" borderId="24" xfId="1" applyNumberFormat="1" applyFont="1" applyFill="1" applyBorder="1" applyAlignment="1">
      <alignment horizontal="left" vertical="center" shrinkToFit="1"/>
    </xf>
    <xf numFmtId="0" fontId="18" fillId="6" borderId="24" xfId="1" applyFont="1" applyFill="1" applyBorder="1" applyAlignment="1">
      <alignment vertical="center" shrinkToFit="1"/>
    </xf>
    <xf numFmtId="180" fontId="25" fillId="6" borderId="24" xfId="1" applyNumberFormat="1" applyFont="1" applyFill="1" applyBorder="1" applyAlignment="1">
      <alignment vertical="center" shrinkToFit="1"/>
    </xf>
    <xf numFmtId="0" fontId="18" fillId="6" borderId="24" xfId="1" applyFont="1" applyFill="1" applyBorder="1" applyAlignment="1">
      <alignment horizontal="center" vertical="center" shrinkToFit="1"/>
    </xf>
    <xf numFmtId="178" fontId="18" fillId="6" borderId="24" xfId="1" applyNumberFormat="1" applyFont="1" applyFill="1" applyBorder="1" applyAlignment="1">
      <alignment vertical="center" shrinkToFit="1"/>
    </xf>
    <xf numFmtId="180" fontId="18" fillId="6" borderId="24" xfId="1" applyNumberFormat="1" applyFont="1" applyFill="1" applyBorder="1" applyAlignment="1">
      <alignment vertical="center" shrinkToFit="1"/>
    </xf>
    <xf numFmtId="0" fontId="18" fillId="0" borderId="28" xfId="1" applyFont="1" applyBorder="1" applyAlignment="1">
      <alignment vertical="center" shrinkToFit="1"/>
    </xf>
    <xf numFmtId="180" fontId="25" fillId="0" borderId="5" xfId="1" applyNumberFormat="1" applyFont="1" applyBorder="1" applyAlignment="1">
      <alignment vertical="center" shrinkToFit="1"/>
    </xf>
    <xf numFmtId="0" fontId="18" fillId="0" borderId="5" xfId="1" applyFont="1" applyBorder="1" applyAlignment="1">
      <alignment horizontal="center" vertical="center" shrinkToFit="1"/>
    </xf>
    <xf numFmtId="178" fontId="18" fillId="0" borderId="5" xfId="1" applyNumberFormat="1" applyFont="1" applyBorder="1" applyAlignment="1">
      <alignment vertical="center" shrinkToFit="1"/>
    </xf>
    <xf numFmtId="180" fontId="18" fillId="0" borderId="5" xfId="1" applyNumberFormat="1" applyFont="1" applyBorder="1" applyAlignment="1">
      <alignment vertical="center" shrinkToFit="1"/>
    </xf>
    <xf numFmtId="0" fontId="18" fillId="6" borderId="28" xfId="1" applyFont="1" applyFill="1" applyBorder="1" applyAlignment="1">
      <alignment vertical="center" shrinkToFit="1"/>
    </xf>
    <xf numFmtId="179" fontId="18" fillId="6" borderId="5" xfId="1" applyNumberFormat="1" applyFont="1" applyFill="1" applyBorder="1" applyAlignment="1">
      <alignment horizontal="left" vertical="center" shrinkToFit="1"/>
    </xf>
    <xf numFmtId="0" fontId="18" fillId="6" borderId="5" xfId="1" applyFont="1" applyFill="1" applyBorder="1" applyAlignment="1">
      <alignment vertical="center" shrinkToFit="1"/>
    </xf>
    <xf numFmtId="180" fontId="25" fillId="6" borderId="5" xfId="1" applyNumberFormat="1" applyFont="1" applyFill="1" applyBorder="1" applyAlignment="1">
      <alignment vertical="center" shrinkToFit="1"/>
    </xf>
    <xf numFmtId="0" fontId="18" fillId="6" borderId="5" xfId="1" applyFont="1" applyFill="1" applyBorder="1" applyAlignment="1">
      <alignment horizontal="center" vertical="center" shrinkToFit="1"/>
    </xf>
    <xf numFmtId="0" fontId="18" fillId="0" borderId="2" xfId="1" applyFont="1" applyBorder="1" applyAlignment="1">
      <alignment vertical="center" shrinkToFit="1"/>
    </xf>
    <xf numFmtId="177" fontId="18" fillId="0" borderId="20" xfId="1" applyNumberFormat="1" applyFont="1" applyBorder="1" applyAlignment="1">
      <alignment vertical="center" shrinkToFit="1"/>
    </xf>
    <xf numFmtId="177" fontId="18" fillId="0" borderId="20" xfId="1" applyNumberFormat="1" applyFont="1" applyBorder="1" applyAlignment="1">
      <alignment horizontal="right" vertical="center" shrinkToFit="1"/>
    </xf>
    <xf numFmtId="177" fontId="18" fillId="6" borderId="20" xfId="1" applyNumberFormat="1" applyFont="1" applyFill="1" applyBorder="1" applyAlignment="1">
      <alignment vertical="center" shrinkToFit="1"/>
    </xf>
    <xf numFmtId="177" fontId="18" fillId="6" borderId="20" xfId="1" applyNumberFormat="1" applyFont="1" applyFill="1" applyBorder="1" applyAlignment="1">
      <alignment horizontal="right" vertical="center" shrinkToFit="1"/>
    </xf>
    <xf numFmtId="177" fontId="18" fillId="0" borderId="24" xfId="1" applyNumberFormat="1" applyFont="1" applyBorder="1" applyAlignment="1">
      <alignment vertical="center" shrinkToFit="1"/>
    </xf>
    <xf numFmtId="177" fontId="18" fillId="0" borderId="24" xfId="1" applyNumberFormat="1" applyFont="1" applyBorder="1" applyAlignment="1">
      <alignment horizontal="right" vertical="center" shrinkToFit="1"/>
    </xf>
    <xf numFmtId="177" fontId="18" fillId="0" borderId="27" xfId="1" applyNumberFormat="1" applyFont="1" applyBorder="1" applyAlignment="1">
      <alignment horizontal="right" vertical="center" shrinkToFit="1"/>
    </xf>
    <xf numFmtId="180" fontId="18" fillId="6" borderId="24" xfId="1" applyNumberFormat="1" applyFont="1" applyFill="1" applyBorder="1" applyAlignment="1">
      <alignment horizontal="right" vertical="center" shrinkToFit="1"/>
    </xf>
    <xf numFmtId="180" fontId="18" fillId="0" borderId="5" xfId="1" applyNumberFormat="1" applyFont="1" applyBorder="1" applyAlignment="1">
      <alignment horizontal="right" vertical="center" shrinkToFit="1"/>
    </xf>
    <xf numFmtId="177" fontId="30" fillId="6" borderId="20" xfId="3" applyNumberFormat="1" applyFont="1" applyFill="1" applyBorder="1" applyAlignment="1">
      <alignment vertical="center" shrinkToFit="1"/>
    </xf>
    <xf numFmtId="177" fontId="30" fillId="6" borderId="20" xfId="3" applyNumberFormat="1" applyFont="1" applyFill="1" applyBorder="1" applyAlignment="1">
      <alignment horizontal="center" vertical="center" shrinkToFit="1"/>
    </xf>
    <xf numFmtId="177" fontId="30" fillId="6" borderId="20" xfId="1" applyNumberFormat="1" applyFont="1" applyFill="1" applyBorder="1" applyAlignment="1">
      <alignment vertical="center" shrinkToFit="1"/>
    </xf>
    <xf numFmtId="177" fontId="30" fillId="6" borderId="20" xfId="3" applyNumberFormat="1" applyFont="1" applyFill="1" applyBorder="1" applyAlignment="1">
      <alignment horizontal="right" vertical="center" shrinkToFit="1"/>
    </xf>
    <xf numFmtId="177" fontId="30" fillId="0" borderId="20" xfId="1" applyNumberFormat="1" applyFont="1" applyBorder="1" applyAlignment="1">
      <alignment vertical="center" shrinkToFit="1"/>
    </xf>
    <xf numFmtId="0" fontId="30" fillId="0" borderId="20" xfId="1" applyFont="1" applyBorder="1" applyAlignment="1">
      <alignment horizontal="center" vertical="center" shrinkToFit="1"/>
    </xf>
    <xf numFmtId="177" fontId="30" fillId="0" borderId="24" xfId="1" applyNumberFormat="1" applyFont="1" applyBorder="1" applyAlignment="1">
      <alignment vertical="center" shrinkToFit="1"/>
    </xf>
    <xf numFmtId="177" fontId="30" fillId="0" borderId="20" xfId="1" applyNumberFormat="1" applyFont="1" applyBorder="1" applyAlignment="1">
      <alignment horizontal="right" vertical="center" shrinkToFit="1"/>
    </xf>
    <xf numFmtId="0" fontId="30" fillId="6" borderId="20" xfId="1" applyFont="1" applyFill="1" applyBorder="1" applyAlignment="1">
      <alignment horizontal="center" vertical="center" shrinkToFit="1"/>
    </xf>
    <xf numFmtId="177" fontId="30" fillId="6" borderId="20" xfId="1" applyNumberFormat="1" applyFont="1" applyFill="1" applyBorder="1" applyAlignment="1">
      <alignment horizontal="right" vertical="center" shrinkToFit="1"/>
    </xf>
    <xf numFmtId="0" fontId="30" fillId="0" borderId="24" xfId="1" applyFont="1" applyBorder="1" applyAlignment="1">
      <alignment horizontal="center" vertical="center" shrinkToFit="1"/>
    </xf>
    <xf numFmtId="177" fontId="30" fillId="0" borderId="24" xfId="1" applyNumberFormat="1" applyFont="1" applyBorder="1" applyAlignment="1">
      <alignment horizontal="right" vertical="center" shrinkToFit="1"/>
    </xf>
    <xf numFmtId="0" fontId="31" fillId="0" borderId="0" xfId="1" applyFont="1">
      <alignment vertical="center"/>
    </xf>
    <xf numFmtId="0" fontId="18" fillId="0" borderId="1" xfId="1" applyFont="1" applyBorder="1">
      <alignment vertical="center"/>
    </xf>
    <xf numFmtId="0" fontId="18" fillId="0" borderId="10" xfId="1" applyFont="1" applyBorder="1">
      <alignment vertical="center"/>
    </xf>
    <xf numFmtId="0" fontId="20" fillId="0" borderId="5" xfId="1" applyFont="1" applyBorder="1" applyAlignment="1">
      <alignment horizontal="right" vertical="center"/>
    </xf>
    <xf numFmtId="181" fontId="3" fillId="0" borderId="25" xfId="1" applyNumberFormat="1" applyFont="1" applyBorder="1" applyAlignment="1">
      <alignment horizontal="center" vertical="center"/>
    </xf>
    <xf numFmtId="0" fontId="6" fillId="9" borderId="9" xfId="1" applyFont="1" applyFill="1" applyBorder="1" applyAlignment="1">
      <alignment vertical="center" shrinkToFit="1"/>
    </xf>
    <xf numFmtId="0" fontId="20" fillId="0" borderId="2" xfId="1" applyFont="1" applyBorder="1" applyAlignment="1">
      <alignment horizontal="right" vertical="center"/>
    </xf>
    <xf numFmtId="181" fontId="3" fillId="0" borderId="10" xfId="1" applyNumberFormat="1" applyFont="1" applyBorder="1" applyAlignment="1">
      <alignment horizontal="center" vertical="center"/>
    </xf>
    <xf numFmtId="0" fontId="20" fillId="10" borderId="9" xfId="1" applyFont="1" applyFill="1" applyBorder="1">
      <alignment vertical="center"/>
    </xf>
    <xf numFmtId="0" fontId="20" fillId="10" borderId="9" xfId="1" applyFont="1" applyFill="1" applyBorder="1" applyAlignment="1">
      <alignment horizontal="center" vertical="center" wrapText="1"/>
    </xf>
    <xf numFmtId="0" fontId="20" fillId="3" borderId="9" xfId="1" applyFont="1" applyFill="1" applyBorder="1">
      <alignment vertical="center"/>
    </xf>
    <xf numFmtId="0" fontId="20" fillId="3" borderId="9" xfId="1" applyFont="1" applyFill="1" applyBorder="1" applyAlignment="1">
      <alignment horizontal="center" vertical="center"/>
    </xf>
    <xf numFmtId="0" fontId="20" fillId="3" borderId="9" xfId="1" applyFont="1" applyFill="1" applyBorder="1" applyAlignment="1">
      <alignment horizontal="center" vertical="center" wrapText="1"/>
    </xf>
    <xf numFmtId="0" fontId="32" fillId="3" borderId="9" xfId="1" applyFont="1" applyFill="1" applyBorder="1" applyAlignment="1">
      <alignment horizontal="center" vertical="center"/>
    </xf>
    <xf numFmtId="0" fontId="33" fillId="3" borderId="9" xfId="1" applyFont="1" applyFill="1" applyBorder="1" applyAlignment="1">
      <alignment horizontal="center" vertical="center" wrapText="1"/>
    </xf>
    <xf numFmtId="0" fontId="20" fillId="0" borderId="9" xfId="1" applyFont="1" applyBorder="1">
      <alignment vertical="center"/>
    </xf>
    <xf numFmtId="38" fontId="20" fillId="0" borderId="9" xfId="1" applyNumberFormat="1" applyFont="1" applyBorder="1">
      <alignment vertical="center"/>
    </xf>
    <xf numFmtId="0" fontId="20" fillId="0" borderId="9" xfId="1" applyFont="1" applyBorder="1" applyAlignment="1">
      <alignment horizontal="center" vertical="center"/>
    </xf>
    <xf numFmtId="0" fontId="3" fillId="0" borderId="9" xfId="1" applyFont="1" applyBorder="1">
      <alignment vertical="center"/>
    </xf>
    <xf numFmtId="10" fontId="3" fillId="0" borderId="9" xfId="1" applyNumberFormat="1" applyFont="1" applyBorder="1" applyAlignment="1">
      <alignment horizontal="right" vertical="center"/>
    </xf>
    <xf numFmtId="38" fontId="3" fillId="0" borderId="9" xfId="3" applyFont="1" applyFill="1" applyBorder="1" applyAlignment="1">
      <alignment horizontal="right" vertical="center"/>
    </xf>
    <xf numFmtId="38" fontId="3" fillId="0" borderId="9" xfId="3" applyFont="1" applyFill="1" applyBorder="1">
      <alignment vertical="center"/>
    </xf>
    <xf numFmtId="38" fontId="35" fillId="0" borderId="9" xfId="3" applyFont="1" applyFill="1" applyBorder="1" applyAlignment="1">
      <alignment horizontal="right" vertical="center"/>
    </xf>
    <xf numFmtId="0" fontId="20" fillId="11" borderId="9" xfId="1" applyFont="1" applyFill="1" applyBorder="1">
      <alignment vertical="center"/>
    </xf>
    <xf numFmtId="38" fontId="20" fillId="11" borderId="9" xfId="1" applyNumberFormat="1" applyFont="1" applyFill="1" applyBorder="1">
      <alignment vertical="center"/>
    </xf>
    <xf numFmtId="0" fontId="20" fillId="11" borderId="9" xfId="1" applyFont="1" applyFill="1" applyBorder="1" applyAlignment="1">
      <alignment horizontal="center" vertical="center"/>
    </xf>
    <xf numFmtId="0" fontId="3" fillId="0" borderId="9" xfId="1" applyFont="1" applyFill="1" applyBorder="1">
      <alignment vertical="center"/>
    </xf>
    <xf numFmtId="10" fontId="3" fillId="0" borderId="9" xfId="1" applyNumberFormat="1" applyFont="1" applyFill="1" applyBorder="1" applyAlignment="1">
      <alignment horizontal="right" vertical="center"/>
    </xf>
    <xf numFmtId="0" fontId="3" fillId="11" borderId="9" xfId="1" applyFont="1" applyFill="1" applyBorder="1">
      <alignment vertical="center"/>
    </xf>
    <xf numFmtId="38" fontId="23" fillId="11" borderId="9" xfId="3" applyFont="1" applyFill="1" applyBorder="1" applyAlignment="1">
      <alignment horizontal="right" vertical="center"/>
    </xf>
    <xf numFmtId="38" fontId="35" fillId="11" borderId="9" xfId="3" applyFont="1" applyFill="1" applyBorder="1" applyAlignment="1">
      <alignment horizontal="right" vertical="center"/>
    </xf>
    <xf numFmtId="38" fontId="3" fillId="11" borderId="9" xfId="3" applyFont="1" applyFill="1" applyBorder="1" applyAlignment="1">
      <alignment horizontal="right" vertical="center"/>
    </xf>
    <xf numFmtId="0" fontId="3" fillId="0" borderId="9" xfId="1" applyFont="1" applyFill="1" applyBorder="1" applyAlignment="1">
      <alignment horizontal="right" vertical="center"/>
    </xf>
    <xf numFmtId="0" fontId="20" fillId="0" borderId="14" xfId="1" applyFont="1" applyBorder="1" applyAlignment="1">
      <alignment vertical="center" wrapText="1"/>
    </xf>
    <xf numFmtId="0" fontId="20" fillId="0" borderId="0" xfId="1" applyFont="1" applyAlignment="1">
      <alignment vertical="center" wrapText="1"/>
    </xf>
    <xf numFmtId="0" fontId="20" fillId="0" borderId="5" xfId="1" applyFont="1" applyBorder="1">
      <alignment vertical="center"/>
    </xf>
    <xf numFmtId="0" fontId="20" fillId="12" borderId="9" xfId="1" applyFont="1" applyFill="1" applyBorder="1">
      <alignment vertical="center"/>
    </xf>
    <xf numFmtId="0" fontId="20" fillId="0" borderId="0" xfId="1" applyFont="1" applyAlignment="1">
      <alignment horizontal="left" vertical="center"/>
    </xf>
    <xf numFmtId="182" fontId="20" fillId="9" borderId="9" xfId="1" applyNumberFormat="1" applyFont="1" applyFill="1" applyBorder="1" applyAlignment="1">
      <alignment horizontal="center" vertical="center" shrinkToFit="1"/>
    </xf>
    <xf numFmtId="0" fontId="20" fillId="13" borderId="9" xfId="1" applyFont="1" applyFill="1" applyBorder="1" applyAlignment="1">
      <alignment horizontal="center" vertical="center"/>
    </xf>
    <xf numFmtId="57" fontId="20" fillId="0" borderId="9" xfId="1" applyNumberFormat="1" applyFont="1" applyBorder="1" applyAlignment="1">
      <alignment vertical="center" shrinkToFit="1"/>
    </xf>
    <xf numFmtId="14" fontId="20" fillId="0" borderId="29" xfId="1" applyNumberFormat="1" applyFont="1" applyBorder="1">
      <alignment vertical="center"/>
    </xf>
    <xf numFmtId="14" fontId="20" fillId="0" borderId="15" xfId="1" applyNumberFormat="1" applyFont="1" applyBorder="1">
      <alignment vertical="center"/>
    </xf>
    <xf numFmtId="0" fontId="20" fillId="0" borderId="9" xfId="1" applyFont="1" applyBorder="1" applyAlignment="1">
      <alignment vertical="center" shrinkToFit="1"/>
    </xf>
    <xf numFmtId="0" fontId="20" fillId="0" borderId="28" xfId="1" applyFont="1" applyBorder="1">
      <alignment vertical="center"/>
    </xf>
    <xf numFmtId="0" fontId="20" fillId="0" borderId="22" xfId="1" applyFont="1" applyBorder="1" applyAlignment="1">
      <alignment horizontal="right" vertical="center" shrinkToFit="1"/>
    </xf>
    <xf numFmtId="0" fontId="20" fillId="0" borderId="30" xfId="1" applyFont="1" applyBorder="1">
      <alignment vertical="center"/>
    </xf>
    <xf numFmtId="0" fontId="20" fillId="0" borderId="28" xfId="1" applyFont="1" applyBorder="1" applyAlignment="1">
      <alignment horizontal="right" vertical="center" shrinkToFit="1"/>
    </xf>
    <xf numFmtId="0" fontId="20" fillId="0" borderId="22" xfId="1" applyFont="1" applyBorder="1">
      <alignment vertical="center"/>
    </xf>
    <xf numFmtId="0" fontId="20" fillId="0" borderId="22" xfId="1" applyFont="1" applyBorder="1" applyAlignment="1">
      <alignment horizontal="right" vertical="center"/>
    </xf>
    <xf numFmtId="0" fontId="20" fillId="11" borderId="9" xfId="1" applyFont="1" applyFill="1" applyBorder="1" applyAlignment="1">
      <alignment horizontal="right" vertical="center"/>
    </xf>
    <xf numFmtId="0" fontId="20" fillId="0" borderId="9" xfId="1" applyFont="1" applyBorder="1" applyAlignment="1">
      <alignment horizontal="right" vertical="center"/>
    </xf>
    <xf numFmtId="0" fontId="20" fillId="11" borderId="30" xfId="1" applyFont="1" applyFill="1" applyBorder="1">
      <alignment vertical="center"/>
    </xf>
    <xf numFmtId="0" fontId="20" fillId="11" borderId="30" xfId="1" applyFont="1" applyFill="1" applyBorder="1" applyAlignment="1">
      <alignment horizontal="right" vertical="center"/>
    </xf>
    <xf numFmtId="182" fontId="20" fillId="0" borderId="9" xfId="1" applyNumberFormat="1" applyFont="1" applyBorder="1">
      <alignment vertical="center"/>
    </xf>
    <xf numFmtId="0" fontId="20" fillId="0" borderId="0" xfId="1" applyFont="1" applyAlignment="1">
      <alignment horizontal="center" vertical="center"/>
    </xf>
    <xf numFmtId="0" fontId="6" fillId="0" borderId="0" xfId="1" quotePrefix="1" applyFont="1">
      <alignment vertical="center"/>
    </xf>
    <xf numFmtId="0" fontId="20" fillId="14" borderId="9" xfId="1" applyFont="1" applyFill="1" applyBorder="1" applyAlignment="1">
      <alignment horizontal="center" vertical="center" wrapText="1"/>
    </xf>
    <xf numFmtId="0" fontId="20" fillId="14" borderId="9" xfId="1" applyFont="1" applyFill="1" applyBorder="1" applyAlignment="1">
      <alignment horizontal="center" vertical="center"/>
    </xf>
    <xf numFmtId="38" fontId="20" fillId="0" borderId="9" xfId="3" applyFont="1" applyBorder="1" applyAlignment="1">
      <alignment vertical="center" shrinkToFit="1"/>
    </xf>
    <xf numFmtId="38" fontId="36" fillId="0" borderId="9" xfId="3" applyFont="1" applyBorder="1" applyAlignment="1">
      <alignment vertical="center" shrinkToFit="1"/>
    </xf>
    <xf numFmtId="3" fontId="20" fillId="0" borderId="9" xfId="1" applyNumberFormat="1" applyFont="1" applyBorder="1" applyAlignment="1">
      <alignment vertical="center" shrinkToFit="1"/>
    </xf>
    <xf numFmtId="38" fontId="20" fillId="0" borderId="9" xfId="3" applyFont="1" applyBorder="1" applyAlignment="1">
      <alignment horizontal="right" vertical="center"/>
    </xf>
    <xf numFmtId="38" fontId="20" fillId="11" borderId="9" xfId="3" applyFont="1" applyFill="1" applyBorder="1" applyAlignment="1">
      <alignment vertical="center" shrinkToFit="1"/>
    </xf>
    <xf numFmtId="38" fontId="36" fillId="11" borderId="9" xfId="3" applyFont="1" applyFill="1" applyBorder="1" applyAlignment="1">
      <alignment vertical="center" shrinkToFit="1"/>
    </xf>
    <xf numFmtId="38" fontId="20" fillId="11" borderId="9" xfId="3" applyFont="1" applyFill="1" applyBorder="1" applyAlignment="1">
      <alignment horizontal="right" vertical="center"/>
    </xf>
    <xf numFmtId="38" fontId="20" fillId="11" borderId="30" xfId="3" applyFont="1" applyFill="1" applyBorder="1" applyAlignment="1">
      <alignment vertical="center" shrinkToFit="1"/>
    </xf>
    <xf numFmtId="38" fontId="36" fillId="11" borderId="30" xfId="3" applyFont="1" applyFill="1" applyBorder="1" applyAlignment="1">
      <alignment vertical="center" shrinkToFit="1"/>
    </xf>
    <xf numFmtId="38" fontId="20" fillId="0" borderId="22" xfId="1" applyNumberFormat="1" applyFont="1" applyBorder="1" applyAlignment="1">
      <alignment vertical="center" shrinkToFit="1"/>
    </xf>
    <xf numFmtId="38" fontId="36" fillId="0" borderId="22" xfId="1" applyNumberFormat="1" applyFont="1" applyBorder="1" applyAlignment="1">
      <alignment vertical="center" shrinkToFit="1"/>
    </xf>
    <xf numFmtId="38" fontId="20" fillId="0" borderId="22" xfId="3" applyFont="1" applyBorder="1" applyAlignment="1">
      <alignment vertical="center" shrinkToFit="1"/>
    </xf>
    <xf numFmtId="38" fontId="20" fillId="0" borderId="33" xfId="3" applyFont="1" applyBorder="1" applyAlignment="1">
      <alignment vertical="center" shrinkToFit="1"/>
    </xf>
    <xf numFmtId="0" fontId="20" fillId="0" borderId="33" xfId="1" applyFont="1" applyBorder="1" applyAlignment="1">
      <alignment vertical="center" shrinkToFit="1"/>
    </xf>
    <xf numFmtId="38" fontId="20" fillId="0" borderId="34" xfId="1" applyNumberFormat="1" applyFont="1" applyBorder="1" applyAlignment="1">
      <alignment vertical="center" shrinkToFit="1"/>
    </xf>
    <xf numFmtId="0" fontId="20" fillId="0" borderId="0" xfId="1" applyFont="1" applyAlignment="1">
      <alignment horizontal="left" vertical="center" wrapText="1"/>
    </xf>
    <xf numFmtId="0" fontId="20" fillId="5" borderId="9" xfId="1" applyFont="1" applyFill="1" applyBorder="1" applyAlignment="1">
      <alignment horizontal="center" vertical="center" wrapText="1"/>
    </xf>
    <xf numFmtId="0" fontId="20" fillId="5" borderId="9" xfId="1" applyFont="1" applyFill="1" applyBorder="1" applyAlignment="1">
      <alignment horizontal="center" vertical="center"/>
    </xf>
    <xf numFmtId="38" fontId="20" fillId="0" borderId="9" xfId="1" applyNumberFormat="1" applyFont="1" applyBorder="1" applyAlignment="1">
      <alignment vertical="center" shrinkToFit="1"/>
    </xf>
    <xf numFmtId="38" fontId="20" fillId="0" borderId="0" xfId="3" applyFont="1" applyFill="1" applyBorder="1" applyAlignment="1">
      <alignment vertical="center" shrinkToFit="1"/>
    </xf>
    <xf numFmtId="38" fontId="20" fillId="11" borderId="9" xfId="1" applyNumberFormat="1" applyFont="1" applyFill="1" applyBorder="1" applyAlignment="1">
      <alignment vertical="center" shrinkToFit="1"/>
    </xf>
    <xf numFmtId="3" fontId="20" fillId="11" borderId="9" xfId="1" applyNumberFormat="1" applyFont="1" applyFill="1" applyBorder="1" applyAlignment="1">
      <alignment vertical="center" shrinkToFit="1"/>
    </xf>
    <xf numFmtId="38" fontId="20" fillId="0" borderId="0" xfId="3" applyFont="1" applyBorder="1" applyAlignment="1">
      <alignment vertical="center" shrinkToFit="1"/>
    </xf>
    <xf numFmtId="38" fontId="20" fillId="11" borderId="30" xfId="1" applyNumberFormat="1" applyFont="1" applyFill="1" applyBorder="1" applyAlignment="1">
      <alignment vertical="center" shrinkToFit="1"/>
    </xf>
    <xf numFmtId="3" fontId="20" fillId="11" borderId="30" xfId="1" applyNumberFormat="1" applyFont="1" applyFill="1" applyBorder="1" applyAlignment="1">
      <alignment vertical="center" shrinkToFit="1"/>
    </xf>
    <xf numFmtId="38" fontId="20" fillId="0" borderId="0" xfId="1" applyNumberFormat="1" applyFont="1" applyAlignment="1">
      <alignment vertical="center" shrinkToFit="1"/>
    </xf>
    <xf numFmtId="38" fontId="20" fillId="0" borderId="0" xfId="1" applyNumberFormat="1" applyFont="1">
      <alignment vertical="center"/>
    </xf>
    <xf numFmtId="183" fontId="20" fillId="0" borderId="0" xfId="1" applyNumberFormat="1" applyFont="1" applyAlignment="1">
      <alignment horizontal="center" vertical="center"/>
    </xf>
    <xf numFmtId="178" fontId="20" fillId="0" borderId="0" xfId="1" applyNumberFormat="1" applyFont="1">
      <alignment vertical="center"/>
    </xf>
    <xf numFmtId="0" fontId="20" fillId="5" borderId="9" xfId="1" applyFont="1" applyFill="1" applyBorder="1" applyAlignment="1">
      <alignment vertical="center" wrapText="1"/>
    </xf>
    <xf numFmtId="0" fontId="32" fillId="5" borderId="9" xfId="1" applyFont="1" applyFill="1" applyBorder="1" applyAlignment="1">
      <alignment horizontal="center" vertical="center"/>
    </xf>
    <xf numFmtId="0" fontId="33" fillId="5" borderId="9" xfId="1" applyFont="1" applyFill="1" applyBorder="1" applyAlignment="1">
      <alignment horizontal="center" vertical="center"/>
    </xf>
    <xf numFmtId="0" fontId="3" fillId="13" borderId="9" xfId="1" applyFont="1" applyFill="1" applyBorder="1" applyAlignment="1">
      <alignment vertical="center" shrinkToFit="1"/>
    </xf>
    <xf numFmtId="0" fontId="20" fillId="0" borderId="10" xfId="1" applyFont="1" applyBorder="1">
      <alignment vertical="center"/>
    </xf>
    <xf numFmtId="38" fontId="20" fillId="0" borderId="9" xfId="3" applyFont="1" applyBorder="1">
      <alignment vertical="center"/>
    </xf>
    <xf numFmtId="38" fontId="33" fillId="0" borderId="9" xfId="3" applyFont="1" applyBorder="1">
      <alignment vertical="center"/>
    </xf>
    <xf numFmtId="0" fontId="20" fillId="11" borderId="10" xfId="1" applyFont="1" applyFill="1" applyBorder="1">
      <alignment vertical="center"/>
    </xf>
    <xf numFmtId="38" fontId="20" fillId="11" borderId="9" xfId="3" applyFont="1" applyFill="1" applyBorder="1">
      <alignment vertical="center"/>
    </xf>
    <xf numFmtId="38" fontId="32" fillId="11" borderId="9" xfId="3" applyFont="1" applyFill="1" applyBorder="1">
      <alignment vertical="center"/>
    </xf>
    <xf numFmtId="38" fontId="33" fillId="11" borderId="9" xfId="3" applyFont="1" applyFill="1" applyBorder="1">
      <alignment vertical="center"/>
    </xf>
    <xf numFmtId="38" fontId="20" fillId="0" borderId="0" xfId="3" applyFont="1">
      <alignment vertical="center"/>
    </xf>
    <xf numFmtId="0" fontId="3" fillId="13" borderId="30" xfId="1" applyFont="1" applyFill="1" applyBorder="1" applyAlignment="1">
      <alignment vertical="center" shrinkToFit="1"/>
    </xf>
    <xf numFmtId="38" fontId="20" fillId="13" borderId="33" xfId="3" applyFont="1" applyFill="1" applyBorder="1" applyAlignment="1">
      <alignment vertical="center" shrinkToFit="1"/>
    </xf>
    <xf numFmtId="0" fontId="20" fillId="0" borderId="0" xfId="1" applyFont="1" applyAlignment="1">
      <alignment vertical="center" shrinkToFit="1"/>
    </xf>
    <xf numFmtId="0" fontId="37" fillId="0" borderId="0" xfId="1" applyFont="1">
      <alignment vertical="center"/>
    </xf>
    <xf numFmtId="0" fontId="3" fillId="0" borderId="1" xfId="1" applyFont="1" applyBorder="1">
      <alignment vertical="center"/>
    </xf>
    <xf numFmtId="0" fontId="3" fillId="0" borderId="2" xfId="1" applyFont="1" applyBorder="1" applyAlignment="1">
      <alignment horizontal="center" vertical="center"/>
    </xf>
    <xf numFmtId="3" fontId="3" fillId="0" borderId="10" xfId="1" applyNumberFormat="1" applyFont="1" applyBorder="1">
      <alignment vertical="center"/>
    </xf>
    <xf numFmtId="3" fontId="3" fillId="0" borderId="1" xfId="1" applyNumberFormat="1" applyFont="1" applyBorder="1">
      <alignment vertical="center"/>
    </xf>
    <xf numFmtId="0" fontId="38" fillId="0" borderId="9" xfId="1" applyFont="1" applyBorder="1" applyAlignment="1">
      <alignment horizontal="center" vertical="center"/>
    </xf>
    <xf numFmtId="0" fontId="3" fillId="0" borderId="10" xfId="1" applyFont="1" applyBorder="1" applyAlignment="1">
      <alignment horizontal="right" vertical="center"/>
    </xf>
    <xf numFmtId="3" fontId="3" fillId="0" borderId="0" xfId="1" applyNumberFormat="1" applyFont="1">
      <alignment vertical="center"/>
    </xf>
    <xf numFmtId="3" fontId="3" fillId="9" borderId="9" xfId="1" applyNumberFormat="1" applyFont="1" applyFill="1" applyBorder="1" applyAlignment="1">
      <alignment vertical="center" shrinkToFit="1"/>
    </xf>
    <xf numFmtId="38" fontId="3" fillId="0" borderId="9" xfId="1" applyNumberFormat="1" applyFont="1" applyBorder="1" applyAlignment="1">
      <alignment vertical="center" shrinkToFit="1"/>
    </xf>
    <xf numFmtId="3" fontId="3" fillId="0" borderId="9" xfId="1" applyNumberFormat="1" applyFont="1" applyBorder="1" applyAlignment="1">
      <alignment vertical="center" shrinkToFit="1"/>
    </xf>
    <xf numFmtId="38" fontId="3" fillId="9" borderId="9" xfId="3" applyFont="1" applyFill="1" applyBorder="1" applyAlignment="1">
      <alignment vertical="center"/>
    </xf>
    <xf numFmtId="0" fontId="3" fillId="15" borderId="9" xfId="1" applyFont="1" applyFill="1" applyBorder="1">
      <alignment vertical="center"/>
    </xf>
    <xf numFmtId="38" fontId="3" fillId="0" borderId="1" xfId="3" applyFont="1" applyFill="1" applyBorder="1" applyAlignment="1">
      <alignment horizontal="right" vertical="center" wrapText="1"/>
    </xf>
    <xf numFmtId="0" fontId="3" fillId="0" borderId="2" xfId="1" applyFont="1" applyBorder="1" applyAlignment="1">
      <alignment horizontal="center" vertical="center" wrapText="1"/>
    </xf>
    <xf numFmtId="38" fontId="3" fillId="0" borderId="10" xfId="3" applyFont="1" applyFill="1" applyBorder="1" applyAlignment="1">
      <alignment horizontal="center" vertical="center" wrapText="1"/>
    </xf>
    <xf numFmtId="184" fontId="3" fillId="0" borderId="1" xfId="1" applyNumberFormat="1" applyFont="1" applyBorder="1">
      <alignment vertical="center"/>
    </xf>
    <xf numFmtId="184" fontId="3" fillId="0" borderId="2" xfId="1" applyNumberFormat="1" applyFont="1" applyBorder="1" applyAlignment="1">
      <alignment horizontal="center" vertical="center"/>
    </xf>
    <xf numFmtId="184" fontId="3" fillId="0" borderId="10" xfId="1" applyNumberFormat="1" applyFont="1" applyBorder="1">
      <alignment vertical="center"/>
    </xf>
    <xf numFmtId="38" fontId="3" fillId="0" borderId="0" xfId="3" applyFont="1">
      <alignment vertical="center"/>
    </xf>
    <xf numFmtId="38" fontId="3" fillId="0" borderId="0" xfId="3" applyFont="1" applyAlignment="1">
      <alignment vertical="center" shrinkToFit="1"/>
    </xf>
    <xf numFmtId="184" fontId="3" fillId="0" borderId="28" xfId="1" applyNumberFormat="1" applyFont="1" applyBorder="1">
      <alignment vertical="center"/>
    </xf>
    <xf numFmtId="184" fontId="3" fillId="0" borderId="5" xfId="1" applyNumberFormat="1" applyFont="1" applyBorder="1" applyAlignment="1">
      <alignment horizontal="center" vertical="center"/>
    </xf>
    <xf numFmtId="184" fontId="3" fillId="0" borderId="25" xfId="1" applyNumberFormat="1" applyFont="1" applyBorder="1">
      <alignment vertical="center"/>
    </xf>
    <xf numFmtId="0" fontId="6" fillId="0" borderId="5" xfId="1" applyFont="1" applyBorder="1">
      <alignment vertical="center"/>
    </xf>
    <xf numFmtId="0" fontId="3" fillId="9" borderId="9" xfId="1" applyFont="1" applyFill="1" applyBorder="1" applyAlignment="1">
      <alignment vertical="center" shrinkToFit="1"/>
    </xf>
    <xf numFmtId="184" fontId="3" fillId="9" borderId="9" xfId="1" applyNumberFormat="1" applyFont="1" applyFill="1" applyBorder="1" applyAlignment="1">
      <alignment horizontal="right" vertical="center" shrinkToFit="1"/>
    </xf>
    <xf numFmtId="38" fontId="3" fillId="0" borderId="9" xfId="1" applyNumberFormat="1" applyFont="1" applyBorder="1">
      <alignment vertical="center"/>
    </xf>
    <xf numFmtId="0" fontId="3" fillId="0" borderId="9" xfId="1" applyFont="1" applyBorder="1" applyAlignment="1">
      <alignment horizontal="center" vertical="center"/>
    </xf>
    <xf numFmtId="38" fontId="3" fillId="0" borderId="9" xfId="3" applyFont="1" applyBorder="1" applyAlignment="1">
      <alignment vertical="center"/>
    </xf>
    <xf numFmtId="38" fontId="3" fillId="9" borderId="9" xfId="3" applyFont="1" applyFill="1" applyBorder="1" applyAlignment="1">
      <alignment vertical="center" shrinkToFit="1"/>
    </xf>
    <xf numFmtId="38" fontId="3" fillId="0" borderId="0" xfId="1" applyNumberFormat="1" applyFont="1">
      <alignment vertical="center"/>
    </xf>
    <xf numFmtId="0" fontId="3" fillId="0" borderId="0" xfId="1" applyFont="1" applyAlignment="1">
      <alignment horizontal="center" vertical="center" textRotation="255" shrinkToFit="1"/>
    </xf>
    <xf numFmtId="0" fontId="3" fillId="0" borderId="29" xfId="1" applyFont="1" applyBorder="1" applyAlignment="1">
      <alignment horizontal="left" vertical="center" indent="1"/>
    </xf>
    <xf numFmtId="0" fontId="3" fillId="0" borderId="14" xfId="1" applyFont="1" applyBorder="1">
      <alignment vertical="center"/>
    </xf>
    <xf numFmtId="0" fontId="3" fillId="0" borderId="16" xfId="1" applyFont="1" applyBorder="1">
      <alignment vertical="center"/>
    </xf>
    <xf numFmtId="0" fontId="3" fillId="0" borderId="40" xfId="1" applyFont="1" applyBorder="1" applyAlignment="1">
      <alignment horizontal="left" vertical="center" indent="1"/>
    </xf>
    <xf numFmtId="0" fontId="3" fillId="0" borderId="0" xfId="1" applyFont="1" applyAlignment="1">
      <alignment horizontal="left" vertical="center" indent="1"/>
    </xf>
    <xf numFmtId="0" fontId="3" fillId="0" borderId="18" xfId="1" applyFont="1" applyBorder="1">
      <alignment vertical="center"/>
    </xf>
    <xf numFmtId="185" fontId="3" fillId="0" borderId="0" xfId="1" applyNumberFormat="1" applyFont="1" applyAlignment="1">
      <alignment vertical="center" shrinkToFit="1"/>
    </xf>
    <xf numFmtId="0" fontId="3" fillId="0" borderId="9" xfId="1" applyFont="1" applyBorder="1" applyAlignment="1">
      <alignment vertical="center" shrinkToFit="1"/>
    </xf>
    <xf numFmtId="0" fontId="3" fillId="0" borderId="1" xfId="1" applyFont="1" applyBorder="1" applyAlignment="1">
      <alignment vertical="center" shrinkToFit="1"/>
    </xf>
    <xf numFmtId="181" fontId="3" fillId="0" borderId="10" xfId="1" applyNumberFormat="1" applyFont="1" applyBorder="1" applyAlignment="1">
      <alignment horizontal="left" vertical="center" shrinkToFit="1"/>
    </xf>
    <xf numFmtId="9" fontId="40" fillId="0" borderId="10" xfId="4" applyFont="1" applyBorder="1" applyAlignment="1">
      <alignment horizontal="center" vertical="center" shrinkToFit="1"/>
    </xf>
    <xf numFmtId="0" fontId="3" fillId="0" borderId="28" xfId="1" applyFont="1" applyBorder="1">
      <alignment vertical="center"/>
    </xf>
    <xf numFmtId="0" fontId="3" fillId="0" borderId="5" xfId="1" applyFont="1" applyBorder="1">
      <alignment vertical="center"/>
    </xf>
    <xf numFmtId="0" fontId="3" fillId="0" borderId="5" xfId="1" applyFont="1" applyBorder="1" applyAlignment="1">
      <alignment horizontal="left" vertical="center"/>
    </xf>
    <xf numFmtId="0" fontId="3" fillId="0" borderId="25" xfId="1" applyFont="1" applyBorder="1">
      <alignment vertical="center"/>
    </xf>
    <xf numFmtId="183" fontId="3" fillId="0" borderId="0" xfId="3" applyNumberFormat="1" applyFont="1" applyBorder="1" applyAlignment="1">
      <alignment vertical="center" shrinkToFit="1"/>
    </xf>
    <xf numFmtId="9" fontId="40" fillId="0" borderId="0" xfId="4" applyFont="1" applyBorder="1" applyAlignment="1">
      <alignment horizontal="center" vertical="center" shrinkToFit="1"/>
    </xf>
    <xf numFmtId="183" fontId="3" fillId="0" borderId="9" xfId="3" applyNumberFormat="1" applyFont="1" applyBorder="1" applyAlignment="1">
      <alignment vertical="center" shrinkToFit="1"/>
    </xf>
    <xf numFmtId="185" fontId="3" fillId="0" borderId="9" xfId="1" applyNumberFormat="1" applyFont="1" applyBorder="1" applyAlignment="1">
      <alignment vertical="center" shrinkToFit="1"/>
    </xf>
    <xf numFmtId="181" fontId="3" fillId="0" borderId="17" xfId="1" applyNumberFormat="1" applyFont="1" applyBorder="1" applyAlignment="1">
      <alignment horizontal="center" vertical="center"/>
    </xf>
    <xf numFmtId="0" fontId="3" fillId="2" borderId="41" xfId="1" applyFont="1" applyFill="1" applyBorder="1">
      <alignment vertical="center"/>
    </xf>
    <xf numFmtId="0" fontId="3" fillId="2" borderId="42" xfId="1" applyFont="1" applyFill="1" applyBorder="1">
      <alignment vertical="center"/>
    </xf>
    <xf numFmtId="0" fontId="3" fillId="3" borderId="41" xfId="1" applyFont="1" applyFill="1" applyBorder="1">
      <alignment vertical="center"/>
    </xf>
    <xf numFmtId="0" fontId="3" fillId="3" borderId="42" xfId="1" applyFont="1" applyFill="1" applyBorder="1">
      <alignment vertical="center"/>
    </xf>
    <xf numFmtId="0" fontId="3" fillId="17" borderId="41" xfId="1" applyFont="1" applyFill="1" applyBorder="1" applyAlignment="1">
      <alignment horizontal="left" vertical="center"/>
    </xf>
    <xf numFmtId="0" fontId="3" fillId="17" borderId="42" xfId="1" applyFont="1" applyFill="1" applyBorder="1">
      <alignment vertical="center"/>
    </xf>
    <xf numFmtId="0" fontId="3" fillId="4" borderId="41" xfId="1" applyFont="1" applyFill="1" applyBorder="1" applyAlignment="1">
      <alignment horizontal="center" vertical="center"/>
    </xf>
    <xf numFmtId="0" fontId="3" fillId="4" borderId="42" xfId="1" applyFont="1" applyFill="1" applyBorder="1">
      <alignment vertical="center"/>
    </xf>
    <xf numFmtId="0" fontId="3" fillId="2" borderId="44" xfId="1" applyFont="1" applyFill="1" applyBorder="1" applyAlignment="1">
      <alignment horizontal="center" vertical="center"/>
    </xf>
    <xf numFmtId="0" fontId="3" fillId="2" borderId="9" xfId="1" applyFont="1" applyFill="1" applyBorder="1" applyAlignment="1">
      <alignment horizontal="center" vertical="center"/>
    </xf>
    <xf numFmtId="0" fontId="3" fillId="3" borderId="44" xfId="1" applyFont="1" applyFill="1" applyBorder="1" applyAlignment="1">
      <alignment horizontal="center" vertical="center"/>
    </xf>
    <xf numFmtId="0" fontId="3" fillId="3" borderId="9" xfId="1" applyFont="1" applyFill="1" applyBorder="1" applyAlignment="1">
      <alignment horizontal="center" vertical="center"/>
    </xf>
    <xf numFmtId="0" fontId="3" fillId="17" borderId="44" xfId="1" applyFont="1" applyFill="1" applyBorder="1" applyAlignment="1">
      <alignment horizontal="center" vertical="center"/>
    </xf>
    <xf numFmtId="0" fontId="3" fillId="17" borderId="9" xfId="1" applyFont="1" applyFill="1" applyBorder="1" applyAlignment="1">
      <alignment horizontal="center" vertical="center"/>
    </xf>
    <xf numFmtId="0" fontId="3" fillId="4" borderId="9" xfId="1" applyFont="1" applyFill="1" applyBorder="1" applyAlignment="1">
      <alignment horizontal="center" vertical="center"/>
    </xf>
    <xf numFmtId="0" fontId="3" fillId="9" borderId="30" xfId="1" applyFont="1" applyFill="1" applyBorder="1" applyAlignment="1">
      <alignment horizontal="center" vertical="center"/>
    </xf>
    <xf numFmtId="0" fontId="3" fillId="9" borderId="48" xfId="1" applyFont="1" applyFill="1" applyBorder="1" applyAlignment="1">
      <alignment horizontal="center" vertical="center"/>
    </xf>
    <xf numFmtId="10" fontId="3" fillId="2" borderId="49" xfId="1" applyNumberFormat="1" applyFont="1" applyFill="1" applyBorder="1">
      <alignment vertical="center"/>
    </xf>
    <xf numFmtId="38" fontId="3" fillId="2" borderId="30" xfId="1" applyNumberFormat="1" applyFont="1" applyFill="1" applyBorder="1">
      <alignment vertical="center"/>
    </xf>
    <xf numFmtId="10" fontId="3" fillId="3" borderId="49" xfId="1" applyNumberFormat="1" applyFont="1" applyFill="1" applyBorder="1">
      <alignment vertical="center"/>
    </xf>
    <xf numFmtId="38" fontId="3" fillId="3" borderId="30" xfId="1" applyNumberFormat="1" applyFont="1" applyFill="1" applyBorder="1">
      <alignment vertical="center"/>
    </xf>
    <xf numFmtId="10" fontId="3" fillId="17" borderId="49" xfId="1" applyNumberFormat="1" applyFont="1" applyFill="1" applyBorder="1">
      <alignment vertical="center"/>
    </xf>
    <xf numFmtId="38" fontId="3" fillId="17" borderId="30" xfId="1" applyNumberFormat="1" applyFont="1" applyFill="1" applyBorder="1">
      <alignment vertical="center"/>
    </xf>
    <xf numFmtId="0" fontId="3" fillId="4" borderId="49" xfId="1" applyFont="1" applyFill="1" applyBorder="1" applyAlignment="1">
      <alignment horizontal="center" vertical="center"/>
    </xf>
    <xf numFmtId="0" fontId="3" fillId="4" borderId="30" xfId="1" applyFont="1" applyFill="1" applyBorder="1" applyAlignment="1">
      <alignment horizontal="center" vertical="center"/>
    </xf>
    <xf numFmtId="10" fontId="3" fillId="4" borderId="30" xfId="1" applyNumberFormat="1" applyFont="1" applyFill="1" applyBorder="1">
      <alignment vertical="center"/>
    </xf>
    <xf numFmtId="38" fontId="3" fillId="4" borderId="30" xfId="1" applyNumberFormat="1" applyFont="1" applyFill="1" applyBorder="1">
      <alignment vertical="center"/>
    </xf>
    <xf numFmtId="182" fontId="7" fillId="0" borderId="17" xfId="1" applyNumberFormat="1" applyFont="1" applyBorder="1" applyAlignment="1">
      <alignment horizontal="center" vertical="center"/>
    </xf>
    <xf numFmtId="0" fontId="3" fillId="0" borderId="22" xfId="1" applyFont="1" applyBorder="1" applyAlignment="1">
      <alignment vertical="center" shrinkToFit="1"/>
    </xf>
    <xf numFmtId="0" fontId="3" fillId="0" borderId="22" xfId="1" applyFont="1" applyBorder="1" applyAlignment="1">
      <alignment horizontal="center" vertical="center" shrinkToFit="1"/>
    </xf>
    <xf numFmtId="0" fontId="3" fillId="0" borderId="22" xfId="1" applyFont="1" applyBorder="1" applyAlignment="1">
      <alignment horizontal="center" vertical="center" textRotation="255" shrinkToFit="1"/>
    </xf>
    <xf numFmtId="38" fontId="3" fillId="0" borderId="22" xfId="3" applyFont="1" applyBorder="1" applyAlignment="1">
      <alignment vertical="center" shrinkToFit="1"/>
    </xf>
    <xf numFmtId="0" fontId="3" fillId="0" borderId="40" xfId="1" applyFont="1" applyBorder="1" applyAlignment="1">
      <alignment vertical="center" shrinkToFit="1"/>
    </xf>
    <xf numFmtId="38" fontId="3" fillId="0" borderId="8" xfId="3" applyFont="1" applyFill="1" applyBorder="1" applyAlignment="1">
      <alignment vertical="center" shrinkToFit="1"/>
    </xf>
    <xf numFmtId="38" fontId="3" fillId="0" borderId="51" xfId="3" applyFont="1" applyFill="1" applyBorder="1" applyAlignment="1">
      <alignment vertical="center" shrinkToFit="1"/>
    </xf>
    <xf numFmtId="38" fontId="3" fillId="0" borderId="17" xfId="3" applyFont="1" applyFill="1" applyBorder="1" applyAlignment="1">
      <alignment vertical="center" shrinkToFit="1"/>
    </xf>
    <xf numFmtId="38" fontId="3" fillId="0" borderId="52" xfId="3" applyFont="1" applyFill="1" applyBorder="1" applyAlignment="1">
      <alignment vertical="center" shrinkToFit="1"/>
    </xf>
    <xf numFmtId="38" fontId="3" fillId="0" borderId="53" xfId="3" applyFont="1" applyFill="1" applyBorder="1" applyAlignment="1">
      <alignment vertical="center" shrinkToFit="1"/>
    </xf>
    <xf numFmtId="0" fontId="7" fillId="0" borderId="17" xfId="1" applyFont="1" applyBorder="1" applyAlignment="1">
      <alignment horizontal="center" vertical="center" textRotation="255"/>
    </xf>
    <xf numFmtId="0" fontId="3" fillId="0" borderId="17" xfId="1" applyFont="1" applyBorder="1" applyAlignment="1">
      <alignment horizontal="center" vertical="center" textRotation="255"/>
    </xf>
    <xf numFmtId="0" fontId="3" fillId="17" borderId="9" xfId="1" applyFont="1" applyFill="1" applyBorder="1" applyAlignment="1">
      <alignment vertical="center" shrinkToFit="1"/>
    </xf>
    <xf numFmtId="0" fontId="3" fillId="17" borderId="9" xfId="1" applyFont="1" applyFill="1" applyBorder="1" applyAlignment="1">
      <alignment horizontal="center" vertical="center" shrinkToFit="1"/>
    </xf>
    <xf numFmtId="0" fontId="3" fillId="17" borderId="9" xfId="1" applyFont="1" applyFill="1" applyBorder="1" applyAlignment="1">
      <alignment horizontal="center" vertical="center" textRotation="255" shrinkToFit="1"/>
    </xf>
    <xf numFmtId="38" fontId="3" fillId="17" borderId="9" xfId="3" applyFont="1" applyFill="1" applyBorder="1" applyAlignment="1">
      <alignment vertical="center" shrinkToFit="1"/>
    </xf>
    <xf numFmtId="0" fontId="3" fillId="17" borderId="40" xfId="1" applyFont="1" applyFill="1" applyBorder="1" applyAlignment="1">
      <alignment vertical="center" shrinkToFit="1"/>
    </xf>
    <xf numFmtId="38" fontId="3" fillId="17" borderId="8" xfId="3" applyFont="1" applyFill="1" applyBorder="1" applyAlignment="1">
      <alignment vertical="center" shrinkToFit="1"/>
    </xf>
    <xf numFmtId="38" fontId="3" fillId="17" borderId="17" xfId="3" applyFont="1" applyFill="1" applyBorder="1" applyAlignment="1">
      <alignment vertical="center" shrinkToFit="1"/>
    </xf>
    <xf numFmtId="38" fontId="3" fillId="17" borderId="52" xfId="3" applyFont="1" applyFill="1" applyBorder="1" applyAlignment="1">
      <alignment vertical="center" shrinkToFit="1"/>
    </xf>
    <xf numFmtId="38" fontId="3" fillId="17" borderId="44" xfId="3" applyFont="1" applyFill="1" applyBorder="1" applyAlignment="1">
      <alignment vertical="center" shrinkToFit="1"/>
    </xf>
    <xf numFmtId="182" fontId="7" fillId="0" borderId="22" xfId="1" applyNumberFormat="1" applyFont="1" applyBorder="1" applyAlignment="1">
      <alignment horizontal="center" vertical="center"/>
    </xf>
    <xf numFmtId="0" fontId="3" fillId="0" borderId="9" xfId="1" applyFont="1" applyBorder="1" applyAlignment="1">
      <alignment horizontal="center" vertical="center" shrinkToFit="1"/>
    </xf>
    <xf numFmtId="0" fontId="3" fillId="0" borderId="9" xfId="1" applyFont="1" applyBorder="1" applyAlignment="1">
      <alignment horizontal="center" vertical="center" textRotation="255" shrinkToFit="1"/>
    </xf>
    <xf numFmtId="38" fontId="3" fillId="0" borderId="9" xfId="3" applyFont="1" applyBorder="1" applyAlignment="1">
      <alignment vertical="center" shrinkToFit="1"/>
    </xf>
    <xf numFmtId="38" fontId="3" fillId="0" borderId="40" xfId="1" applyNumberFormat="1" applyFont="1" applyBorder="1" applyAlignment="1">
      <alignment vertical="center" shrinkToFit="1"/>
    </xf>
    <xf numFmtId="38" fontId="3" fillId="0" borderId="9" xfId="3" applyFont="1" applyFill="1" applyBorder="1" applyAlignment="1">
      <alignment vertical="center" shrinkToFit="1"/>
    </xf>
    <xf numFmtId="38" fontId="34" fillId="0" borderId="52" xfId="3" applyFont="1" applyFill="1" applyBorder="1" applyAlignment="1">
      <alignment vertical="center" shrinkToFit="1"/>
    </xf>
    <xf numFmtId="38" fontId="3" fillId="0" borderId="44" xfId="3" applyFont="1" applyFill="1" applyBorder="1" applyAlignment="1">
      <alignment vertical="center" shrinkToFit="1"/>
    </xf>
    <xf numFmtId="38" fontId="3" fillId="0" borderId="17" xfId="1" applyNumberFormat="1" applyFont="1" applyBorder="1" applyAlignment="1">
      <alignment vertical="center" shrinkToFit="1"/>
    </xf>
    <xf numFmtId="186" fontId="3" fillId="13" borderId="9" xfId="1" applyNumberFormat="1" applyFont="1" applyFill="1" applyBorder="1" applyAlignment="1">
      <alignment horizontal="center" vertical="center" shrinkToFit="1"/>
    </xf>
    <xf numFmtId="186" fontId="3" fillId="0" borderId="17" xfId="1" applyNumberFormat="1" applyFont="1" applyBorder="1" applyAlignment="1">
      <alignment horizontal="center" vertical="center" shrinkToFit="1"/>
    </xf>
    <xf numFmtId="0" fontId="3" fillId="17" borderId="28" xfId="1" applyFont="1" applyFill="1" applyBorder="1" applyAlignment="1">
      <alignment vertical="center" shrinkToFit="1"/>
    </xf>
    <xf numFmtId="38" fontId="3" fillId="17" borderId="55" xfId="3" applyFont="1" applyFill="1" applyBorder="1" applyAlignment="1">
      <alignment vertical="center" shrinkToFit="1"/>
    </xf>
    <xf numFmtId="38" fontId="3" fillId="17" borderId="56" xfId="3" applyFont="1" applyFill="1" applyBorder="1" applyAlignment="1">
      <alignment vertical="center" shrinkToFit="1"/>
    </xf>
    <xf numFmtId="38" fontId="3" fillId="17" borderId="57" xfId="3" applyFont="1" applyFill="1" applyBorder="1" applyAlignment="1">
      <alignment vertical="center" shrinkToFit="1"/>
    </xf>
    <xf numFmtId="38" fontId="3" fillId="17" borderId="58" xfId="3" applyFont="1" applyFill="1" applyBorder="1" applyAlignment="1">
      <alignment vertical="center" shrinkToFit="1"/>
    </xf>
    <xf numFmtId="38" fontId="3" fillId="17" borderId="59" xfId="3" applyFont="1" applyFill="1" applyBorder="1" applyAlignment="1">
      <alignment vertical="center" shrinkToFit="1"/>
    </xf>
    <xf numFmtId="38" fontId="0" fillId="0" borderId="0" xfId="3" applyFont="1">
      <alignment vertical="center"/>
    </xf>
    <xf numFmtId="14" fontId="1" fillId="4" borderId="0" xfId="1" applyNumberFormat="1" applyFill="1" applyAlignment="1">
      <alignment vertical="center" shrinkToFit="1"/>
    </xf>
    <xf numFmtId="0" fontId="2" fillId="4" borderId="0" xfId="1" applyFont="1" applyFill="1">
      <alignment vertical="center"/>
    </xf>
    <xf numFmtId="14" fontId="20" fillId="0" borderId="9" xfId="1" applyNumberFormat="1" applyFont="1" applyBorder="1" applyAlignment="1">
      <alignment vertical="center" shrinkToFit="1"/>
    </xf>
    <xf numFmtId="14" fontId="20" fillId="11" borderId="9" xfId="1" applyNumberFormat="1" applyFont="1" applyFill="1" applyBorder="1" applyAlignment="1">
      <alignment vertical="center" shrinkToFit="1"/>
    </xf>
    <xf numFmtId="38" fontId="23" fillId="0" borderId="9" xfId="3" applyFont="1" applyFill="1" applyBorder="1" applyAlignment="1">
      <alignment horizontal="right" vertical="center"/>
    </xf>
    <xf numFmtId="38" fontId="32" fillId="0" borderId="9" xfId="3" applyFont="1" applyBorder="1">
      <alignment vertical="center"/>
    </xf>
    <xf numFmtId="0" fontId="20" fillId="0" borderId="0" xfId="1" applyFont="1" applyBorder="1">
      <alignment vertical="center"/>
    </xf>
    <xf numFmtId="0" fontId="3" fillId="9" borderId="60" xfId="1" applyFont="1" applyFill="1" applyBorder="1" applyAlignment="1">
      <alignment horizontal="center" vertical="center" wrapText="1"/>
    </xf>
    <xf numFmtId="183" fontId="7" fillId="0" borderId="1" xfId="3" applyNumberFormat="1" applyFont="1" applyBorder="1" applyAlignment="1">
      <alignment vertical="center" shrinkToFit="1"/>
    </xf>
    <xf numFmtId="0" fontId="3" fillId="9" borderId="30" xfId="1" applyFont="1" applyFill="1" applyBorder="1" applyAlignment="1">
      <alignment horizontal="center" vertical="center"/>
    </xf>
    <xf numFmtId="0" fontId="3" fillId="9" borderId="15" xfId="1" applyFont="1" applyFill="1" applyBorder="1" applyAlignment="1">
      <alignment horizontal="center" vertical="center" wrapText="1"/>
    </xf>
    <xf numFmtId="185" fontId="3" fillId="9" borderId="61" xfId="1" applyNumberFormat="1" applyFont="1" applyFill="1" applyBorder="1" applyAlignment="1">
      <alignment horizontal="center" vertical="center"/>
    </xf>
    <xf numFmtId="183" fontId="3" fillId="0" borderId="0" xfId="1" applyNumberFormat="1" applyFont="1">
      <alignment vertical="center"/>
    </xf>
    <xf numFmtId="38" fontId="20" fillId="0" borderId="0" xfId="3" applyFont="1" applyAlignment="1">
      <alignment vertical="center"/>
    </xf>
    <xf numFmtId="0" fontId="3" fillId="0" borderId="9" xfId="1" applyFont="1" applyFill="1" applyBorder="1" applyAlignment="1">
      <alignment vertical="center" shrinkToFit="1"/>
    </xf>
    <xf numFmtId="10" fontId="3" fillId="0" borderId="9" xfId="4" applyNumberFormat="1" applyFont="1" applyFill="1" applyBorder="1">
      <alignment vertical="center"/>
    </xf>
    <xf numFmtId="0" fontId="23" fillId="0" borderId="0" xfId="1" applyFont="1" applyAlignment="1">
      <alignment horizontal="center" vertical="center" textRotation="255" shrinkToFit="1"/>
    </xf>
    <xf numFmtId="186" fontId="15" fillId="0" borderId="0" xfId="1" applyNumberFormat="1" applyFont="1" applyFill="1" applyBorder="1" applyAlignment="1">
      <alignment horizontal="center" vertical="center" shrinkToFit="1"/>
    </xf>
    <xf numFmtId="186" fontId="3" fillId="0" borderId="0" xfId="1" applyNumberFormat="1" applyFont="1" applyBorder="1" applyAlignment="1">
      <alignment horizontal="center" vertical="center" shrinkToFit="1"/>
    </xf>
    <xf numFmtId="56" fontId="3" fillId="9" borderId="47" xfId="1" quotePrefix="1" applyNumberFormat="1" applyFont="1" applyFill="1" applyBorder="1" applyAlignment="1">
      <alignment vertical="center" shrinkToFit="1"/>
    </xf>
    <xf numFmtId="38" fontId="7" fillId="0" borderId="22" xfId="3" applyFont="1" applyFill="1" applyBorder="1" applyAlignment="1">
      <alignment vertical="center" shrinkToFit="1"/>
    </xf>
    <xf numFmtId="38" fontId="7" fillId="0" borderId="31" xfId="3" applyFont="1" applyBorder="1" applyAlignment="1">
      <alignment horizontal="center" vertical="center"/>
    </xf>
    <xf numFmtId="0" fontId="3" fillId="0" borderId="0" xfId="1" applyFont="1" applyAlignment="1" applyProtection="1">
      <alignment horizontal="center" vertical="center" shrinkToFit="1"/>
    </xf>
    <xf numFmtId="0" fontId="7" fillId="0" borderId="1" xfId="1" applyFont="1" applyBorder="1" applyAlignment="1">
      <alignment horizontal="center" vertical="center"/>
    </xf>
    <xf numFmtId="0" fontId="7" fillId="0" borderId="2" xfId="1" applyFont="1" applyBorder="1" applyAlignment="1">
      <alignment horizontal="center" vertical="center"/>
    </xf>
    <xf numFmtId="38" fontId="7" fillId="2" borderId="1" xfId="1" applyNumberFormat="1" applyFont="1" applyFill="1" applyBorder="1" applyAlignment="1">
      <alignment horizontal="right" vertical="center"/>
    </xf>
    <xf numFmtId="38" fontId="7" fillId="2" borderId="2" xfId="1" applyNumberFormat="1" applyFont="1" applyFill="1" applyBorder="1" applyAlignment="1">
      <alignment horizontal="right" vertical="center"/>
    </xf>
    <xf numFmtId="38" fontId="7" fillId="3" borderId="1" xfId="1" applyNumberFormat="1" applyFont="1" applyFill="1" applyBorder="1" applyAlignment="1">
      <alignment horizontal="right" vertical="center"/>
    </xf>
    <xf numFmtId="38" fontId="7" fillId="3" borderId="2" xfId="1" applyNumberFormat="1" applyFont="1" applyFill="1" applyBorder="1" applyAlignment="1">
      <alignment horizontal="right" vertical="center"/>
    </xf>
    <xf numFmtId="38" fontId="7" fillId="4" borderId="1" xfId="1" applyNumberFormat="1" applyFont="1" applyFill="1" applyBorder="1" applyAlignment="1">
      <alignment horizontal="right" vertical="center"/>
    </xf>
    <xf numFmtId="38" fontId="7" fillId="4" borderId="2" xfId="1" applyNumberFormat="1" applyFont="1" applyFill="1" applyBorder="1" applyAlignment="1">
      <alignment horizontal="right" vertical="center"/>
    </xf>
    <xf numFmtId="38" fontId="7" fillId="5" borderId="12" xfId="1" applyNumberFormat="1" applyFont="1" applyFill="1" applyBorder="1" applyAlignment="1">
      <alignment horizontal="right" vertical="center"/>
    </xf>
    <xf numFmtId="38" fontId="7" fillId="5" borderId="7" xfId="1" applyNumberFormat="1" applyFont="1" applyFill="1" applyBorder="1" applyAlignment="1">
      <alignment horizontal="right" vertical="center"/>
    </xf>
    <xf numFmtId="38" fontId="21" fillId="0" borderId="1" xfId="3" applyFont="1" applyBorder="1" applyAlignment="1">
      <alignment horizontal="right" vertical="center" indent="1"/>
    </xf>
    <xf numFmtId="38" fontId="21" fillId="0" borderId="2" xfId="3" applyFont="1" applyBorder="1" applyAlignment="1">
      <alignment horizontal="right" vertical="center" indent="1"/>
    </xf>
    <xf numFmtId="0" fontId="7" fillId="0" borderId="0" xfId="1" applyFont="1" applyAlignment="1">
      <alignment horizontal="right" vertical="center"/>
    </xf>
    <xf numFmtId="0" fontId="22" fillId="0" borderId="14" xfId="1" applyFont="1" applyBorder="1" applyAlignment="1">
      <alignment horizontal="center" vertical="center"/>
    </xf>
    <xf numFmtId="0" fontId="7" fillId="0" borderId="4" xfId="1" applyFont="1" applyBorder="1" applyAlignment="1">
      <alignment horizontal="center" vertical="center"/>
    </xf>
    <xf numFmtId="38" fontId="7" fillId="2" borderId="6" xfId="1" applyNumberFormat="1" applyFont="1" applyFill="1" applyBorder="1" applyAlignment="1">
      <alignment horizontal="right" vertical="center"/>
    </xf>
    <xf numFmtId="38" fontId="7" fillId="2" borderId="7" xfId="1" applyNumberFormat="1" applyFont="1" applyFill="1" applyBorder="1" applyAlignment="1">
      <alignment horizontal="right" vertical="center"/>
    </xf>
    <xf numFmtId="38" fontId="7" fillId="3" borderId="12" xfId="1" applyNumberFormat="1" applyFont="1" applyFill="1" applyBorder="1" applyAlignment="1">
      <alignment horizontal="right" vertical="center"/>
    </xf>
    <xf numFmtId="38" fontId="7" fillId="3" borderId="7" xfId="1" applyNumberFormat="1" applyFont="1" applyFill="1" applyBorder="1" applyAlignment="1">
      <alignment horizontal="right" vertical="center"/>
    </xf>
    <xf numFmtId="38" fontId="7" fillId="4" borderId="12" xfId="1" applyNumberFormat="1" applyFont="1" applyFill="1" applyBorder="1" applyAlignment="1">
      <alignment horizontal="right" vertical="center"/>
    </xf>
    <xf numFmtId="38" fontId="7" fillId="4" borderId="7" xfId="1" applyNumberFormat="1" applyFont="1" applyFill="1" applyBorder="1" applyAlignment="1">
      <alignment horizontal="right" vertical="center"/>
    </xf>
    <xf numFmtId="38" fontId="19" fillId="0" borderId="6" xfId="3" applyFont="1" applyBorder="1" applyAlignment="1">
      <alignment horizontal="right" vertical="center" indent="1"/>
    </xf>
    <xf numFmtId="38" fontId="19" fillId="0" borderId="7" xfId="3" applyFont="1" applyBorder="1" applyAlignment="1">
      <alignment horizontal="right" vertical="center" indent="1"/>
    </xf>
    <xf numFmtId="38" fontId="7" fillId="5" borderId="1" xfId="1" applyNumberFormat="1" applyFont="1" applyFill="1" applyBorder="1" applyAlignment="1">
      <alignment horizontal="right" vertical="center"/>
    </xf>
    <xf numFmtId="38" fontId="7" fillId="5" borderId="2" xfId="1" applyNumberFormat="1" applyFont="1" applyFill="1" applyBorder="1" applyAlignment="1">
      <alignment horizontal="right" vertical="center"/>
    </xf>
    <xf numFmtId="0" fontId="18" fillId="0" borderId="11" xfId="1" applyFont="1" applyBorder="1" applyAlignment="1">
      <alignment horizontal="center" vertical="center" textRotation="255"/>
    </xf>
    <xf numFmtId="0" fontId="18" fillId="0" borderId="2" xfId="1" applyFont="1" applyBorder="1" applyAlignment="1">
      <alignment horizontal="center" vertical="center"/>
    </xf>
    <xf numFmtId="0" fontId="14" fillId="5" borderId="9" xfId="1" applyFont="1" applyFill="1" applyBorder="1" applyAlignment="1">
      <alignment horizontal="center" vertical="center"/>
    </xf>
    <xf numFmtId="0" fontId="3" fillId="0" borderId="0" xfId="1" applyFont="1" applyAlignment="1">
      <alignment horizontal="center" vertical="center"/>
    </xf>
    <xf numFmtId="0" fontId="7" fillId="0" borderId="0" xfId="1" applyFont="1" applyAlignment="1">
      <alignment horizontal="center" vertical="center"/>
    </xf>
    <xf numFmtId="0" fontId="14" fillId="0" borderId="0" xfId="1" applyFont="1" applyAlignment="1">
      <alignment horizontal="center" vertical="center" shrinkToFit="1"/>
    </xf>
    <xf numFmtId="38" fontId="3" fillId="0" borderId="1" xfId="3" applyFont="1" applyBorder="1" applyAlignment="1" applyProtection="1">
      <alignment horizontal="right" vertical="center" shrinkToFit="1"/>
      <protection locked="0"/>
    </xf>
    <xf numFmtId="38" fontId="3" fillId="0" borderId="2" xfId="3" applyFont="1" applyBorder="1" applyAlignment="1" applyProtection="1">
      <alignment horizontal="right" vertical="center" shrinkToFit="1"/>
      <protection locked="0"/>
    </xf>
    <xf numFmtId="38" fontId="3" fillId="0" borderId="10" xfId="3" applyFont="1" applyBorder="1" applyAlignment="1" applyProtection="1">
      <alignment horizontal="right" vertical="center" shrinkToFit="1"/>
      <protection locked="0"/>
    </xf>
    <xf numFmtId="0" fontId="7" fillId="2" borderId="9" xfId="1" applyFont="1" applyFill="1" applyBorder="1" applyAlignment="1">
      <alignment horizontal="center" vertical="center"/>
    </xf>
    <xf numFmtId="0" fontId="7" fillId="3" borderId="9" xfId="1" applyFont="1" applyFill="1" applyBorder="1" applyAlignment="1">
      <alignment horizontal="center" vertical="center"/>
    </xf>
    <xf numFmtId="0" fontId="7" fillId="4" borderId="9" xfId="1" applyFont="1" applyFill="1" applyBorder="1" applyAlignment="1">
      <alignment horizontal="center" vertical="center"/>
    </xf>
    <xf numFmtId="0" fontId="7" fillId="0" borderId="0" xfId="1" applyFont="1" applyAlignment="1">
      <alignment horizontal="left" vertical="center"/>
    </xf>
    <xf numFmtId="0" fontId="11" fillId="0" borderId="6" xfId="1" applyFont="1" applyBorder="1" applyAlignment="1" applyProtection="1">
      <alignment horizontal="center" vertical="center" shrinkToFit="1"/>
      <protection locked="0"/>
    </xf>
    <xf numFmtId="0" fontId="11" fillId="0" borderId="7" xfId="1" applyFont="1" applyBorder="1" applyAlignment="1" applyProtection="1">
      <alignment horizontal="center" vertical="center" shrinkToFit="1"/>
      <protection locked="0"/>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9" fillId="0" borderId="0" xfId="2" applyAlignment="1" applyProtection="1">
      <alignment horizontal="center" vertical="center"/>
      <protection locked="0"/>
    </xf>
    <xf numFmtId="0" fontId="7" fillId="0" borderId="4" xfId="1" applyFont="1" applyBorder="1" applyAlignment="1">
      <alignment horizontal="center" vertical="center" wrapText="1"/>
    </xf>
    <xf numFmtId="0" fontId="7" fillId="0" borderId="5" xfId="1" applyFont="1" applyBorder="1" applyAlignment="1">
      <alignment horizontal="center" vertical="center"/>
    </xf>
    <xf numFmtId="0" fontId="10" fillId="0" borderId="0" xfId="1" applyFont="1" applyAlignment="1">
      <alignment horizontal="center" vertical="center" wrapText="1"/>
    </xf>
    <xf numFmtId="0" fontId="45" fillId="0" borderId="64" xfId="1" applyFont="1" applyBorder="1" applyAlignment="1">
      <alignment horizontal="center" vertical="top" wrapText="1"/>
    </xf>
    <xf numFmtId="0" fontId="6" fillId="0" borderId="1" xfId="1" applyFont="1" applyBorder="1" applyAlignment="1">
      <alignment horizontal="left" vertical="center" indent="1"/>
    </xf>
    <xf numFmtId="0" fontId="6" fillId="0" borderId="2" xfId="1" applyFont="1" applyBorder="1" applyAlignment="1">
      <alignment horizontal="left" vertical="center" indent="1"/>
    </xf>
    <xf numFmtId="177" fontId="27" fillId="0" borderId="2" xfId="1" applyNumberFormat="1" applyFont="1" applyBorder="1" applyAlignment="1">
      <alignment horizontal="right" vertical="center"/>
    </xf>
    <xf numFmtId="177" fontId="27" fillId="0" borderId="10" xfId="1" applyNumberFormat="1" applyFont="1" applyBorder="1" applyAlignment="1">
      <alignment horizontal="right" vertical="center"/>
    </xf>
    <xf numFmtId="0" fontId="25" fillId="5" borderId="15" xfId="1" applyFont="1" applyFill="1" applyBorder="1" applyAlignment="1">
      <alignment horizontal="center" vertical="center" shrinkToFit="1"/>
    </xf>
    <xf numFmtId="0" fontId="25" fillId="5" borderId="22" xfId="1" applyFont="1" applyFill="1" applyBorder="1" applyAlignment="1">
      <alignment horizontal="center" vertical="center" shrinkToFit="1"/>
    </xf>
    <xf numFmtId="38" fontId="27" fillId="0" borderId="14" xfId="3" applyFont="1" applyBorder="1" applyAlignment="1">
      <alignment horizontal="right" vertical="center" shrinkToFit="1"/>
    </xf>
    <xf numFmtId="38" fontId="27" fillId="0" borderId="5" xfId="3" applyFont="1" applyBorder="1" applyAlignment="1">
      <alignment horizontal="right" vertical="center" shrinkToFit="1"/>
    </xf>
    <xf numFmtId="0" fontId="25" fillId="0" borderId="14" xfId="1" applyFont="1" applyBorder="1" applyAlignment="1">
      <alignment horizontal="left" vertical="center" shrinkToFit="1"/>
    </xf>
    <xf numFmtId="0" fontId="25" fillId="0" borderId="5" xfId="1" applyFont="1" applyBorder="1" applyAlignment="1">
      <alignment horizontal="left" vertical="center" shrinkToFit="1"/>
    </xf>
    <xf numFmtId="0" fontId="18" fillId="0" borderId="14" xfId="1" applyFont="1" applyBorder="1" applyAlignment="1">
      <alignment horizontal="left" vertical="center" shrinkToFit="1"/>
    </xf>
    <xf numFmtId="0" fontId="18" fillId="0" borderId="16" xfId="1" applyFont="1" applyBorder="1" applyAlignment="1">
      <alignment horizontal="left" vertical="center" shrinkToFit="1"/>
    </xf>
    <xf numFmtId="0" fontId="18" fillId="0" borderId="5" xfId="1" applyFont="1" applyBorder="1" applyAlignment="1">
      <alignment horizontal="left" vertical="center" shrinkToFit="1"/>
    </xf>
    <xf numFmtId="0" fontId="18" fillId="0" borderId="25" xfId="1" applyFont="1" applyBorder="1" applyAlignment="1">
      <alignment horizontal="left" vertical="center" shrinkToFit="1"/>
    </xf>
    <xf numFmtId="0" fontId="25" fillId="6" borderId="21" xfId="1" applyFont="1" applyFill="1" applyBorder="1" applyAlignment="1">
      <alignment horizontal="right" vertical="center" shrinkToFit="1"/>
    </xf>
    <xf numFmtId="0" fontId="25" fillId="5" borderId="1" xfId="1" applyFont="1" applyFill="1" applyBorder="1" applyAlignment="1">
      <alignment horizontal="left" vertical="center" wrapText="1" shrinkToFit="1"/>
    </xf>
    <xf numFmtId="0" fontId="25" fillId="5" borderId="2" xfId="1" applyFont="1" applyFill="1" applyBorder="1" applyAlignment="1">
      <alignment horizontal="left" vertical="center" wrapText="1" shrinkToFit="1"/>
    </xf>
    <xf numFmtId="0" fontId="25" fillId="5" borderId="10" xfId="1" applyFont="1" applyFill="1" applyBorder="1" applyAlignment="1">
      <alignment horizontal="left" vertical="center" wrapText="1" shrinkToFit="1"/>
    </xf>
    <xf numFmtId="0" fontId="18" fillId="0" borderId="28" xfId="1" applyFont="1" applyBorder="1" applyAlignment="1">
      <alignment horizontal="center" vertical="center" shrinkToFit="1"/>
    </xf>
    <xf numFmtId="0" fontId="18" fillId="0" borderId="2" xfId="1" applyFont="1" applyBorder="1" applyAlignment="1">
      <alignment horizontal="center" vertical="center" shrinkToFit="1"/>
    </xf>
    <xf numFmtId="177" fontId="28" fillId="0" borderId="2" xfId="3" applyNumberFormat="1" applyFont="1" applyBorder="1" applyAlignment="1">
      <alignment horizontal="right" vertical="center" shrinkToFit="1"/>
    </xf>
    <xf numFmtId="0" fontId="29" fillId="0" borderId="2" xfId="1" applyFont="1" applyBorder="1" applyAlignment="1">
      <alignment horizontal="left" vertical="center" shrinkToFit="1"/>
    </xf>
    <xf numFmtId="0" fontId="18" fillId="0" borderId="2" xfId="1" applyFont="1" applyBorder="1" applyAlignment="1">
      <alignment horizontal="left" vertical="center" shrinkToFit="1"/>
    </xf>
    <xf numFmtId="0" fontId="18" fillId="0" borderId="10" xfId="1" applyFont="1" applyBorder="1" applyAlignment="1">
      <alignment horizontal="left" vertical="center" shrinkToFit="1"/>
    </xf>
    <xf numFmtId="0" fontId="25" fillId="0" borderId="0" xfId="1" applyFont="1" applyAlignment="1">
      <alignment horizontal="left" vertical="center" shrinkToFit="1"/>
    </xf>
    <xf numFmtId="0" fontId="18" fillId="0" borderId="0" xfId="1" applyFont="1" applyAlignment="1">
      <alignment horizontal="left" vertical="center" shrinkToFit="1"/>
    </xf>
    <xf numFmtId="0" fontId="18" fillId="0" borderId="18" xfId="1" applyFont="1" applyBorder="1" applyAlignment="1">
      <alignment horizontal="left" vertical="center" shrinkToFit="1"/>
    </xf>
    <xf numFmtId="176" fontId="25" fillId="8" borderId="17" xfId="3" applyNumberFormat="1" applyFont="1" applyFill="1" applyBorder="1" applyAlignment="1">
      <alignment horizontal="right" vertical="center" shrinkToFit="1"/>
    </xf>
    <xf numFmtId="176" fontId="25" fillId="8" borderId="22" xfId="3" applyNumberFormat="1" applyFont="1" applyFill="1" applyBorder="1" applyAlignment="1">
      <alignment horizontal="right" vertical="center" shrinkToFit="1"/>
    </xf>
    <xf numFmtId="0" fontId="25" fillId="5" borderId="17" xfId="1" applyFont="1" applyFill="1" applyBorder="1" applyAlignment="1">
      <alignment horizontal="center" vertical="center" shrinkToFit="1"/>
    </xf>
    <xf numFmtId="38" fontId="27" fillId="0" borderId="0" xfId="3" applyFont="1" applyBorder="1" applyAlignment="1">
      <alignment horizontal="right" vertical="center" shrinkToFit="1"/>
    </xf>
    <xf numFmtId="0" fontId="25" fillId="6" borderId="24" xfId="1" applyFont="1" applyFill="1" applyBorder="1" applyAlignment="1">
      <alignment horizontal="right" vertical="center" shrinkToFit="1"/>
    </xf>
    <xf numFmtId="0" fontId="25" fillId="0" borderId="1" xfId="1" applyFont="1" applyBorder="1" applyAlignment="1">
      <alignment horizontal="left" vertical="center" indent="1"/>
    </xf>
    <xf numFmtId="0" fontId="25" fillId="0" borderId="2" xfId="1" applyFont="1" applyBorder="1" applyAlignment="1">
      <alignment horizontal="left" vertical="center" indent="1"/>
    </xf>
    <xf numFmtId="177" fontId="28" fillId="0" borderId="2" xfId="1" applyNumberFormat="1" applyFont="1" applyBorder="1" applyAlignment="1">
      <alignment horizontal="right" vertical="center"/>
    </xf>
    <xf numFmtId="0" fontId="28" fillId="0" borderId="2" xfId="1" applyFont="1" applyBorder="1" applyAlignment="1">
      <alignment horizontal="right" vertical="center"/>
    </xf>
    <xf numFmtId="0" fontId="28" fillId="0" borderId="10" xfId="1" applyFont="1" applyBorder="1" applyAlignment="1">
      <alignment horizontal="right" vertical="center"/>
    </xf>
    <xf numFmtId="0" fontId="18" fillId="0" borderId="14" xfId="1" applyFont="1" applyBorder="1" applyAlignment="1">
      <alignment horizontal="center" vertical="center" shrinkToFit="1"/>
    </xf>
    <xf numFmtId="0" fontId="18" fillId="0" borderId="0" xfId="1" applyFont="1" applyAlignment="1">
      <alignment horizontal="center" vertical="center" shrinkToFit="1"/>
    </xf>
    <xf numFmtId="0" fontId="18" fillId="0" borderId="14" xfId="1" applyFont="1" applyBorder="1" applyAlignment="1">
      <alignment horizontal="center" vertical="center" wrapText="1" shrinkToFit="1"/>
    </xf>
    <xf numFmtId="0" fontId="18" fillId="0" borderId="0" xfId="1" applyFont="1" applyAlignment="1">
      <alignment horizontal="center" vertical="center" wrapText="1" shrinkToFit="1"/>
    </xf>
    <xf numFmtId="0" fontId="18" fillId="0" borderId="5" xfId="1" applyFont="1" applyBorder="1" applyAlignment="1">
      <alignment horizontal="center" vertical="center" shrinkToFit="1"/>
    </xf>
    <xf numFmtId="10" fontId="18" fillId="7" borderId="15" xfId="1" applyNumberFormat="1" applyFont="1" applyFill="1" applyBorder="1" applyAlignment="1">
      <alignment horizontal="center" vertical="center" shrinkToFit="1"/>
    </xf>
    <xf numFmtId="10" fontId="18" fillId="7" borderId="17" xfId="1" applyNumberFormat="1" applyFont="1" applyFill="1" applyBorder="1" applyAlignment="1">
      <alignment horizontal="center" vertical="center" shrinkToFit="1"/>
    </xf>
    <xf numFmtId="10" fontId="18" fillId="7" borderId="22" xfId="1" applyNumberFormat="1" applyFont="1" applyFill="1" applyBorder="1" applyAlignment="1">
      <alignment horizontal="center" vertical="center" shrinkToFit="1"/>
    </xf>
    <xf numFmtId="0" fontId="25" fillId="2" borderId="15" xfId="1" applyFont="1" applyFill="1" applyBorder="1" applyAlignment="1">
      <alignment horizontal="center" vertical="center" shrinkToFit="1"/>
    </xf>
    <xf numFmtId="0" fontId="25" fillId="2" borderId="22" xfId="1" applyFont="1" applyFill="1" applyBorder="1" applyAlignment="1">
      <alignment horizontal="center" vertical="center" shrinkToFit="1"/>
    </xf>
    <xf numFmtId="0" fontId="25" fillId="4" borderId="1" xfId="1" applyFont="1" applyFill="1" applyBorder="1" applyAlignment="1">
      <alignment horizontal="left" vertical="center" shrinkToFit="1"/>
    </xf>
    <xf numFmtId="0" fontId="25" fillId="4" borderId="2" xfId="1" applyFont="1" applyFill="1" applyBorder="1" applyAlignment="1">
      <alignment horizontal="left" vertical="center" shrinkToFit="1"/>
    </xf>
    <xf numFmtId="0" fontId="25" fillId="4" borderId="10" xfId="1" applyFont="1" applyFill="1" applyBorder="1" applyAlignment="1">
      <alignment horizontal="left" vertical="center" shrinkToFit="1"/>
    </xf>
    <xf numFmtId="0" fontId="25" fillId="4" borderId="15" xfId="1" applyFont="1" applyFill="1" applyBorder="1" applyAlignment="1">
      <alignment horizontal="center" vertical="center" shrinkToFit="1"/>
    </xf>
    <xf numFmtId="0" fontId="25" fillId="4" borderId="17" xfId="1" applyFont="1" applyFill="1" applyBorder="1" applyAlignment="1">
      <alignment horizontal="center" vertical="center" shrinkToFit="1"/>
    </xf>
    <xf numFmtId="0" fontId="25" fillId="4" borderId="22" xfId="1" applyFont="1" applyFill="1" applyBorder="1" applyAlignment="1">
      <alignment horizontal="center" vertical="center" shrinkToFit="1"/>
    </xf>
    <xf numFmtId="0" fontId="25" fillId="3" borderId="15" xfId="1" applyFont="1" applyFill="1" applyBorder="1" applyAlignment="1">
      <alignment horizontal="center" vertical="center" shrinkToFit="1"/>
    </xf>
    <xf numFmtId="0" fontId="25" fillId="3" borderId="22" xfId="1" applyFont="1" applyFill="1" applyBorder="1" applyAlignment="1">
      <alignment horizontal="center" vertical="center" shrinkToFit="1"/>
    </xf>
    <xf numFmtId="0" fontId="25" fillId="3" borderId="1" xfId="1" applyFont="1" applyFill="1" applyBorder="1" applyAlignment="1">
      <alignment horizontal="left" vertical="center" shrinkToFit="1"/>
    </xf>
    <xf numFmtId="0" fontId="25" fillId="3" borderId="2" xfId="1" applyFont="1" applyFill="1" applyBorder="1" applyAlignment="1">
      <alignment horizontal="left" vertical="center" shrinkToFit="1"/>
    </xf>
    <xf numFmtId="0" fontId="25" fillId="3" borderId="25" xfId="1" applyFont="1" applyFill="1" applyBorder="1" applyAlignment="1">
      <alignment horizontal="left" vertical="center" shrinkToFit="1"/>
    </xf>
    <xf numFmtId="0" fontId="25" fillId="3" borderId="17" xfId="1" applyFont="1" applyFill="1" applyBorder="1" applyAlignment="1">
      <alignment horizontal="center" vertical="center" shrinkToFit="1"/>
    </xf>
    <xf numFmtId="0" fontId="25" fillId="0" borderId="21" xfId="1" applyFont="1" applyBorder="1" applyAlignment="1">
      <alignment horizontal="right" vertical="center" shrinkToFit="1"/>
    </xf>
    <xf numFmtId="0" fontId="25" fillId="2" borderId="17" xfId="1" applyFont="1" applyFill="1" applyBorder="1" applyAlignment="1">
      <alignment horizontal="center" vertical="center" shrinkToFit="1"/>
    </xf>
    <xf numFmtId="0" fontId="25" fillId="2" borderId="1" xfId="1" applyFont="1" applyFill="1" applyBorder="1" applyAlignment="1">
      <alignment horizontal="left" vertical="center" shrinkToFit="1"/>
    </xf>
    <xf numFmtId="0" fontId="25" fillId="2" borderId="5" xfId="1" applyFont="1" applyFill="1" applyBorder="1" applyAlignment="1">
      <alignment horizontal="left" vertical="center" shrinkToFit="1"/>
    </xf>
    <xf numFmtId="0" fontId="25" fillId="2" borderId="25" xfId="1" applyFont="1" applyFill="1" applyBorder="1" applyAlignment="1">
      <alignment horizontal="left" vertical="center" shrinkToFit="1"/>
    </xf>
    <xf numFmtId="0" fontId="18" fillId="7" borderId="17" xfId="1" applyFont="1" applyFill="1" applyBorder="1" applyAlignment="1">
      <alignment horizontal="center" vertical="center" shrinkToFit="1"/>
    </xf>
    <xf numFmtId="0" fontId="18" fillId="7" borderId="22" xfId="1" applyFont="1" applyFill="1" applyBorder="1" applyAlignment="1">
      <alignment horizontal="center" vertical="center" shrinkToFit="1"/>
    </xf>
    <xf numFmtId="0" fontId="20" fillId="5" borderId="29" xfId="1" applyFont="1" applyFill="1" applyBorder="1" applyAlignment="1">
      <alignment horizontal="center" vertical="center" wrapText="1"/>
    </xf>
    <xf numFmtId="0" fontId="20" fillId="5" borderId="14" xfId="1" applyFont="1" applyFill="1" applyBorder="1" applyAlignment="1">
      <alignment horizontal="center" vertical="center" wrapText="1"/>
    </xf>
    <xf numFmtId="0" fontId="20" fillId="5" borderId="16" xfId="1" applyFont="1" applyFill="1" applyBorder="1" applyAlignment="1">
      <alignment horizontal="center" vertical="center" wrapText="1"/>
    </xf>
    <xf numFmtId="0" fontId="20" fillId="5" borderId="28" xfId="1" applyFont="1" applyFill="1" applyBorder="1" applyAlignment="1">
      <alignment horizontal="center" vertical="center" wrapText="1"/>
    </xf>
    <xf numFmtId="0" fontId="20" fillId="5" borderId="5" xfId="1" applyFont="1" applyFill="1" applyBorder="1" applyAlignment="1">
      <alignment horizontal="center" vertical="center" wrapText="1"/>
    </xf>
    <xf numFmtId="0" fontId="20" fillId="5" borderId="25" xfId="1" applyFont="1" applyFill="1" applyBorder="1" applyAlignment="1">
      <alignment horizontal="center" vertical="center" wrapText="1"/>
    </xf>
    <xf numFmtId="0" fontId="20" fillId="5" borderId="15" xfId="1" applyFont="1" applyFill="1" applyBorder="1" applyAlignment="1">
      <alignment horizontal="center" vertical="top" wrapText="1"/>
    </xf>
    <xf numFmtId="0" fontId="20" fillId="5" borderId="22" xfId="1" applyFont="1" applyFill="1" applyBorder="1" applyAlignment="1">
      <alignment horizontal="center" vertical="top" wrapText="1"/>
    </xf>
    <xf numFmtId="183" fontId="25" fillId="0" borderId="37" xfId="1" applyNumberFormat="1" applyFont="1" applyBorder="1" applyAlignment="1">
      <alignment horizontal="center" vertical="center"/>
    </xf>
    <xf numFmtId="183" fontId="25" fillId="0" borderId="38" xfId="1" applyNumberFormat="1" applyFont="1" applyBorder="1" applyAlignment="1">
      <alignment horizontal="center" vertical="center"/>
    </xf>
    <xf numFmtId="183" fontId="25" fillId="0" borderId="39" xfId="1" applyNumberFormat="1" applyFont="1" applyBorder="1" applyAlignment="1">
      <alignment horizontal="center" vertical="center"/>
    </xf>
    <xf numFmtId="0" fontId="20" fillId="5" borderId="9" xfId="1" applyFont="1" applyFill="1" applyBorder="1" applyAlignment="1">
      <alignment horizontal="center" vertical="center"/>
    </xf>
    <xf numFmtId="0" fontId="20" fillId="5" borderId="22" xfId="1" applyFont="1" applyFill="1" applyBorder="1" applyAlignment="1">
      <alignment horizontal="center" vertical="top"/>
    </xf>
    <xf numFmtId="0" fontId="22" fillId="5" borderId="9" xfId="1" applyFont="1" applyFill="1" applyBorder="1" applyAlignment="1">
      <alignment horizontal="center" vertical="top" wrapText="1"/>
    </xf>
    <xf numFmtId="0" fontId="20" fillId="5" borderId="9" xfId="1" applyFont="1" applyFill="1" applyBorder="1" applyAlignment="1">
      <alignment horizontal="center" vertical="top" wrapText="1"/>
    </xf>
    <xf numFmtId="0" fontId="20" fillId="0" borderId="1" xfId="1" applyFont="1" applyBorder="1" applyAlignment="1">
      <alignment horizontal="left" vertical="center" shrinkToFit="1"/>
    </xf>
    <xf numFmtId="0" fontId="20" fillId="0" borderId="2" xfId="1" applyFont="1" applyBorder="1" applyAlignment="1">
      <alignment horizontal="left" vertical="center" shrinkToFit="1"/>
    </xf>
    <xf numFmtId="0" fontId="20" fillId="0" borderId="10" xfId="1" applyFont="1" applyBorder="1" applyAlignment="1">
      <alignment horizontal="left" vertical="center" shrinkToFit="1"/>
    </xf>
    <xf numFmtId="0" fontId="20" fillId="11" borderId="1" xfId="1" applyFont="1" applyFill="1" applyBorder="1" applyAlignment="1">
      <alignment horizontal="left" vertical="center" shrinkToFit="1"/>
    </xf>
    <xf numFmtId="0" fontId="20" fillId="11" borderId="2" xfId="1" applyFont="1" applyFill="1" applyBorder="1" applyAlignment="1">
      <alignment horizontal="left" vertical="center" shrinkToFit="1"/>
    </xf>
    <xf numFmtId="0" fontId="20" fillId="11" borderId="10" xfId="1" applyFont="1" applyFill="1" applyBorder="1" applyAlignment="1">
      <alignment horizontal="left" vertical="center" shrinkToFit="1"/>
    </xf>
    <xf numFmtId="0" fontId="20" fillId="5" borderId="32" xfId="1" applyFont="1" applyFill="1" applyBorder="1" applyAlignment="1">
      <alignment horizontal="center" vertical="center"/>
    </xf>
    <xf numFmtId="0" fontId="20" fillId="5" borderId="33" xfId="1" applyFont="1" applyFill="1" applyBorder="1" applyAlignment="1">
      <alignment horizontal="center" vertical="center"/>
    </xf>
    <xf numFmtId="0" fontId="20" fillId="5" borderId="15" xfId="1" applyFont="1" applyFill="1" applyBorder="1" applyAlignment="1">
      <alignment horizontal="center" vertical="center" wrapText="1"/>
    </xf>
    <xf numFmtId="0" fontId="20" fillId="5" borderId="22" xfId="1" applyFont="1" applyFill="1" applyBorder="1" applyAlignment="1">
      <alignment horizontal="center" vertical="center" wrapText="1"/>
    </xf>
    <xf numFmtId="0" fontId="20" fillId="5" borderId="1" xfId="1" applyFont="1" applyFill="1" applyBorder="1" applyAlignment="1">
      <alignment horizontal="center" vertical="center" wrapText="1"/>
    </xf>
    <xf numFmtId="0" fontId="20" fillId="5" borderId="2" xfId="1" applyFont="1" applyFill="1" applyBorder="1" applyAlignment="1">
      <alignment horizontal="center" vertical="center" wrapText="1"/>
    </xf>
    <xf numFmtId="0" fontId="20" fillId="5" borderId="10" xfId="1" applyFont="1" applyFill="1" applyBorder="1" applyAlignment="1">
      <alignment horizontal="center" vertical="center" wrapText="1"/>
    </xf>
    <xf numFmtId="0" fontId="21" fillId="5" borderId="35" xfId="1" applyFont="1" applyFill="1" applyBorder="1" applyAlignment="1">
      <alignment horizontal="center" vertical="center" wrapText="1"/>
    </xf>
    <xf numFmtId="0" fontId="20" fillId="5" borderId="36" xfId="1" applyFont="1" applyFill="1" applyBorder="1" applyAlignment="1">
      <alignment horizontal="center" vertical="center" wrapText="1"/>
    </xf>
    <xf numFmtId="0" fontId="20" fillId="5" borderId="10" xfId="1" applyFont="1" applyFill="1" applyBorder="1" applyAlignment="1">
      <alignment horizontal="center" vertical="center"/>
    </xf>
    <xf numFmtId="0" fontId="20" fillId="14" borderId="9" xfId="1" applyFont="1" applyFill="1" applyBorder="1" applyAlignment="1">
      <alignment horizontal="center" vertical="top" wrapText="1"/>
    </xf>
    <xf numFmtId="0" fontId="20" fillId="14" borderId="9" xfId="1" applyFont="1" applyFill="1" applyBorder="1" applyAlignment="1">
      <alignment horizontal="center" vertical="top"/>
    </xf>
    <xf numFmtId="0" fontId="20" fillId="14" borderId="32" xfId="1" applyFont="1" applyFill="1" applyBorder="1" applyAlignment="1">
      <alignment horizontal="center" vertical="center"/>
    </xf>
    <xf numFmtId="0" fontId="20" fillId="14" borderId="33" xfId="1" applyFont="1" applyFill="1" applyBorder="1" applyAlignment="1">
      <alignment horizontal="center" vertical="center"/>
    </xf>
    <xf numFmtId="0" fontId="14" fillId="5" borderId="31" xfId="1" applyFont="1" applyFill="1" applyBorder="1" applyAlignment="1">
      <alignment horizontal="left" vertical="center"/>
    </xf>
    <xf numFmtId="0" fontId="36" fillId="5" borderId="15" xfId="1" applyFont="1" applyFill="1" applyBorder="1" applyAlignment="1">
      <alignment horizontal="center" vertical="top" wrapText="1"/>
    </xf>
    <xf numFmtId="0" fontId="36" fillId="5" borderId="22" xfId="1" applyFont="1" applyFill="1" applyBorder="1" applyAlignment="1">
      <alignment horizontal="center" vertical="top" wrapText="1"/>
    </xf>
    <xf numFmtId="0" fontId="20" fillId="0" borderId="22" xfId="1" applyFont="1" applyBorder="1" applyAlignment="1">
      <alignment horizontal="center" vertical="center" textRotation="255"/>
    </xf>
    <xf numFmtId="0" fontId="20" fillId="0" borderId="9" xfId="1" applyFont="1" applyBorder="1" applyAlignment="1">
      <alignment horizontal="center" vertical="center" textRotation="255"/>
    </xf>
    <xf numFmtId="0" fontId="20" fillId="0" borderId="9" xfId="1" applyFont="1" applyBorder="1" applyAlignment="1">
      <alignment horizontal="left" vertical="center" wrapText="1"/>
    </xf>
    <xf numFmtId="0" fontId="43" fillId="0" borderId="9" xfId="1" applyFont="1" applyBorder="1" applyAlignment="1">
      <alignment horizontal="center" vertical="center" wrapText="1"/>
    </xf>
    <xf numFmtId="0" fontId="20" fillId="0" borderId="9" xfId="1" applyFont="1" applyBorder="1" applyAlignment="1">
      <alignment horizontal="center" vertical="center"/>
    </xf>
    <xf numFmtId="0" fontId="14" fillId="14" borderId="31" xfId="1" applyFont="1" applyFill="1" applyBorder="1" applyAlignment="1">
      <alignment horizontal="left" vertical="center"/>
    </xf>
    <xf numFmtId="0" fontId="36" fillId="14" borderId="9" xfId="1" applyFont="1" applyFill="1" applyBorder="1" applyAlignment="1">
      <alignment horizontal="center" vertical="top" wrapText="1"/>
    </xf>
    <xf numFmtId="0" fontId="20" fillId="14" borderId="15" xfId="1" applyFont="1" applyFill="1" applyBorder="1" applyAlignment="1">
      <alignment horizontal="center" vertical="top" wrapText="1"/>
    </xf>
    <xf numFmtId="0" fontId="20" fillId="14" borderId="22" xfId="1" applyFont="1" applyFill="1" applyBorder="1" applyAlignment="1">
      <alignment horizontal="center" vertical="top" wrapText="1"/>
    </xf>
    <xf numFmtId="0" fontId="20" fillId="14" borderId="9" xfId="1" applyFont="1" applyFill="1" applyBorder="1" applyAlignment="1">
      <alignment horizontal="center" vertical="center"/>
    </xf>
    <xf numFmtId="0" fontId="36" fillId="14" borderId="15" xfId="1" applyFont="1" applyFill="1" applyBorder="1" applyAlignment="1">
      <alignment horizontal="center" vertical="top" wrapText="1"/>
    </xf>
    <xf numFmtId="0" fontId="36" fillId="14" borderId="22" xfId="1" applyFont="1" applyFill="1" applyBorder="1" applyAlignment="1">
      <alignment horizontal="center" vertical="top" wrapText="1"/>
    </xf>
    <xf numFmtId="0" fontId="20" fillId="0" borderId="30" xfId="1" applyFont="1" applyBorder="1" applyAlignment="1">
      <alignment horizontal="center" vertical="center" textRotation="255"/>
    </xf>
    <xf numFmtId="0" fontId="20" fillId="0" borderId="30" xfId="1" applyFont="1" applyBorder="1" applyAlignment="1">
      <alignment horizontal="center" vertical="center" shrinkToFit="1"/>
    </xf>
    <xf numFmtId="0" fontId="25" fillId="0" borderId="1" xfId="1" applyFont="1" applyBorder="1" applyAlignment="1">
      <alignment horizontal="center" vertical="center"/>
    </xf>
    <xf numFmtId="0" fontId="25" fillId="0" borderId="10" xfId="1" applyFont="1" applyBorder="1" applyAlignment="1">
      <alignment horizontal="center" vertical="center"/>
    </xf>
    <xf numFmtId="0" fontId="20" fillId="9" borderId="9" xfId="1" applyFont="1" applyFill="1" applyBorder="1" applyAlignment="1">
      <alignment horizontal="center" vertical="center"/>
    </xf>
    <xf numFmtId="0" fontId="20" fillId="13" borderId="9" xfId="1" applyFont="1" applyFill="1" applyBorder="1" applyAlignment="1">
      <alignment horizontal="center" vertical="center"/>
    </xf>
    <xf numFmtId="0" fontId="20" fillId="13" borderId="22" xfId="1" applyFont="1" applyFill="1" applyBorder="1" applyAlignment="1">
      <alignment horizontal="center" vertical="center"/>
    </xf>
    <xf numFmtId="0" fontId="3" fillId="0" borderId="9" xfId="1" applyFont="1" applyBorder="1" applyAlignment="1">
      <alignment horizontal="center" vertical="center"/>
    </xf>
    <xf numFmtId="0" fontId="3" fillId="15" borderId="29" xfId="1" applyFont="1" applyFill="1" applyBorder="1" applyAlignment="1">
      <alignment horizontal="center" vertical="center"/>
    </xf>
    <xf numFmtId="0" fontId="3" fillId="15" borderId="16" xfId="1" applyFont="1" applyFill="1" applyBorder="1" applyAlignment="1">
      <alignment horizontal="center" vertical="center"/>
    </xf>
    <xf numFmtId="0" fontId="3" fillId="15" borderId="28" xfId="1" applyFont="1" applyFill="1" applyBorder="1" applyAlignment="1">
      <alignment horizontal="center" vertical="center"/>
    </xf>
    <xf numFmtId="0" fontId="3" fillId="15" borderId="25" xfId="1" applyFont="1" applyFill="1" applyBorder="1" applyAlignment="1">
      <alignment horizontal="center" vertical="center"/>
    </xf>
    <xf numFmtId="0" fontId="3" fillId="15" borderId="15" xfId="1" applyFont="1" applyFill="1" applyBorder="1" applyAlignment="1">
      <alignment horizontal="center" vertical="center" shrinkToFit="1"/>
    </xf>
    <xf numFmtId="0" fontId="3" fillId="15" borderId="22" xfId="1" applyFont="1" applyFill="1" applyBorder="1" applyAlignment="1">
      <alignment horizontal="center" vertical="center" shrinkToFit="1"/>
    </xf>
    <xf numFmtId="0" fontId="3" fillId="15" borderId="15" xfId="1" applyFont="1" applyFill="1" applyBorder="1" applyAlignment="1">
      <alignment horizontal="center" vertical="center" wrapText="1" shrinkToFit="1"/>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10" xfId="1" applyFont="1" applyBorder="1" applyAlignment="1">
      <alignment horizontal="left" vertical="center"/>
    </xf>
    <xf numFmtId="0" fontId="3" fillId="0" borderId="1" xfId="1" applyFont="1" applyBorder="1" applyAlignment="1">
      <alignment horizontal="right" vertical="center"/>
    </xf>
    <xf numFmtId="0" fontId="3" fillId="0" borderId="2" xfId="1" applyFont="1" applyBorder="1" applyAlignment="1">
      <alignment horizontal="right" vertical="center"/>
    </xf>
    <xf numFmtId="0" fontId="3" fillId="0" borderId="10" xfId="1" applyFont="1" applyBorder="1" applyAlignment="1">
      <alignment horizontal="right" vertical="center"/>
    </xf>
    <xf numFmtId="0" fontId="6" fillId="15" borderId="9" xfId="1" applyFont="1" applyFill="1" applyBorder="1" applyAlignment="1">
      <alignment horizontal="center" vertical="center"/>
    </xf>
    <xf numFmtId="0" fontId="7" fillId="9" borderId="1" xfId="1" applyFont="1" applyFill="1" applyBorder="1" applyAlignment="1">
      <alignment horizontal="center" vertical="center"/>
    </xf>
    <xf numFmtId="0" fontId="7" fillId="9" borderId="2" xfId="1" applyFont="1" applyFill="1" applyBorder="1" applyAlignment="1">
      <alignment horizontal="center" vertical="center"/>
    </xf>
    <xf numFmtId="0" fontId="7" fillId="9" borderId="10" xfId="1" applyFont="1" applyFill="1" applyBorder="1" applyAlignment="1">
      <alignment horizontal="center" vertical="center"/>
    </xf>
    <xf numFmtId="0" fontId="3" fillId="0" borderId="15" xfId="1" applyFont="1" applyBorder="1" applyAlignment="1">
      <alignment horizontal="center" vertical="center"/>
    </xf>
    <xf numFmtId="0" fontId="3" fillId="0" borderId="17" xfId="1" applyFont="1" applyBorder="1" applyAlignment="1">
      <alignment horizontal="center" vertical="center"/>
    </xf>
    <xf numFmtId="0" fontId="3" fillId="0" borderId="22" xfId="1" applyFont="1" applyBorder="1" applyAlignment="1">
      <alignment horizontal="center" vertical="center"/>
    </xf>
    <xf numFmtId="0" fontId="3" fillId="0" borderId="1" xfId="1" applyFont="1" applyBorder="1" applyAlignment="1">
      <alignment horizontal="right" vertical="center" wrapText="1"/>
    </xf>
    <xf numFmtId="0" fontId="3" fillId="0" borderId="2" xfId="1" applyFont="1" applyBorder="1" applyAlignment="1">
      <alignment horizontal="right" vertical="center" wrapText="1"/>
    </xf>
    <xf numFmtId="0" fontId="3" fillId="0" borderId="10" xfId="1" applyFont="1" applyBorder="1" applyAlignment="1">
      <alignment horizontal="right" vertical="center" wrapText="1"/>
    </xf>
    <xf numFmtId="0" fontId="3" fillId="0" borderId="9" xfId="1" applyFont="1" applyBorder="1" applyAlignment="1">
      <alignment horizontal="right" vertical="center"/>
    </xf>
    <xf numFmtId="0" fontId="3" fillId="15" borderId="15" xfId="1" applyFont="1" applyFill="1" applyBorder="1" applyAlignment="1">
      <alignment horizontal="center" vertical="center"/>
    </xf>
    <xf numFmtId="0" fontId="3" fillId="15" borderId="17" xfId="1" applyFont="1" applyFill="1" applyBorder="1" applyAlignment="1">
      <alignment horizontal="center" vertical="center"/>
    </xf>
    <xf numFmtId="0" fontId="3" fillId="15" borderId="22" xfId="1" applyFont="1" applyFill="1" applyBorder="1" applyAlignment="1">
      <alignment horizontal="center" vertical="center"/>
    </xf>
    <xf numFmtId="0" fontId="3" fillId="15" borderId="15" xfId="1" applyFont="1" applyFill="1" applyBorder="1" applyAlignment="1">
      <alignment horizontal="center" vertical="center" wrapText="1"/>
    </xf>
    <xf numFmtId="0" fontId="7" fillId="9" borderId="29" xfId="1" applyFont="1" applyFill="1" applyBorder="1" applyAlignment="1">
      <alignment horizontal="center" vertical="center"/>
    </xf>
    <xf numFmtId="0" fontId="7" fillId="9" borderId="14" xfId="1" applyFont="1" applyFill="1" applyBorder="1" applyAlignment="1">
      <alignment horizontal="center" vertical="center"/>
    </xf>
    <xf numFmtId="0" fontId="7" fillId="9" borderId="16" xfId="1" applyFont="1" applyFill="1" applyBorder="1" applyAlignment="1">
      <alignment horizontal="center" vertical="center"/>
    </xf>
    <xf numFmtId="0" fontId="3" fillId="15" borderId="1" xfId="1" applyFont="1" applyFill="1" applyBorder="1" applyAlignment="1">
      <alignment horizontal="center" vertical="center" wrapText="1"/>
    </xf>
    <xf numFmtId="0" fontId="3" fillId="15" borderId="2" xfId="1" applyFont="1" applyFill="1" applyBorder="1" applyAlignment="1">
      <alignment horizontal="center" vertical="center" wrapText="1"/>
    </xf>
    <xf numFmtId="0" fontId="3" fillId="15" borderId="10" xfId="1" applyFont="1" applyFill="1" applyBorder="1" applyAlignment="1">
      <alignment horizontal="center" vertical="center" wrapText="1"/>
    </xf>
    <xf numFmtId="0" fontId="3" fillId="15" borderId="9" xfId="1" applyFont="1" applyFill="1" applyBorder="1" applyAlignment="1">
      <alignment horizontal="center" vertical="center"/>
    </xf>
    <xf numFmtId="0" fontId="46" fillId="3" borderId="6" xfId="2" applyFont="1" applyFill="1" applyBorder="1" applyAlignment="1" applyProtection="1">
      <alignment horizontal="center" vertical="center"/>
      <protection locked="0"/>
    </xf>
    <xf numFmtId="0" fontId="46" fillId="3" borderId="7" xfId="2" applyFont="1" applyFill="1" applyBorder="1" applyAlignment="1" applyProtection="1">
      <alignment horizontal="center" vertical="center"/>
      <protection locked="0"/>
    </xf>
    <xf numFmtId="0" fontId="46" fillId="3" borderId="13" xfId="2" applyFont="1" applyFill="1" applyBorder="1" applyAlignment="1" applyProtection="1">
      <alignment horizontal="center" vertical="center"/>
      <protection locked="0"/>
    </xf>
    <xf numFmtId="0" fontId="7" fillId="0" borderId="1" xfId="1" applyFont="1" applyFill="1" applyBorder="1" applyAlignment="1">
      <alignment horizontal="center" vertical="center" shrinkToFit="1"/>
    </xf>
    <xf numFmtId="0" fontId="7" fillId="0" borderId="2" xfId="1" applyFont="1" applyFill="1" applyBorder="1" applyAlignment="1">
      <alignment horizontal="center" vertical="center" shrinkToFit="1"/>
    </xf>
    <xf numFmtId="0" fontId="7" fillId="0" borderId="10" xfId="1" applyFont="1" applyFill="1" applyBorder="1" applyAlignment="1">
      <alignment horizontal="center" vertical="center" shrinkToFit="1"/>
    </xf>
    <xf numFmtId="38" fontId="42" fillId="0" borderId="54" xfId="1" applyNumberFormat="1" applyFont="1" applyBorder="1" applyAlignment="1">
      <alignment horizontal="center" vertical="center" shrinkToFit="1"/>
    </xf>
    <xf numFmtId="38" fontId="42" fillId="0" borderId="8" xfId="1" applyNumberFormat="1" applyFont="1" applyBorder="1" applyAlignment="1">
      <alignment horizontal="center" vertical="center" shrinkToFit="1"/>
    </xf>
    <xf numFmtId="38" fontId="42" fillId="0" borderId="53" xfId="1" applyNumberFormat="1" applyFont="1" applyBorder="1" applyAlignment="1">
      <alignment horizontal="center" vertical="center" shrinkToFit="1"/>
    </xf>
    <xf numFmtId="38" fontId="3" fillId="0" borderId="51" xfId="3" applyFont="1" applyBorder="1" applyAlignment="1">
      <alignment horizontal="center" vertical="center"/>
    </xf>
    <xf numFmtId="38" fontId="3" fillId="0" borderId="17" xfId="3" applyFont="1" applyBorder="1" applyAlignment="1">
      <alignment horizontal="center" vertical="center"/>
    </xf>
    <xf numFmtId="38" fontId="3" fillId="0" borderId="22" xfId="3" applyFont="1" applyBorder="1" applyAlignment="1">
      <alignment horizontal="center" vertical="center"/>
    </xf>
    <xf numFmtId="186" fontId="15" fillId="0" borderId="15" xfId="1" applyNumberFormat="1" applyFont="1" applyFill="1" applyBorder="1" applyAlignment="1">
      <alignment horizontal="center" vertical="center" shrinkToFit="1"/>
    </xf>
    <xf numFmtId="186" fontId="15" fillId="0" borderId="22" xfId="1" applyNumberFormat="1" applyFont="1" applyFill="1" applyBorder="1" applyAlignment="1">
      <alignment horizontal="center" vertical="center" shrinkToFit="1"/>
    </xf>
    <xf numFmtId="0" fontId="3" fillId="9" borderId="28" xfId="1" applyFont="1" applyFill="1" applyBorder="1" applyAlignment="1">
      <alignment horizontal="center" vertical="center" shrinkToFit="1"/>
    </xf>
    <xf numFmtId="0" fontId="3" fillId="9" borderId="5" xfId="1" applyFont="1" applyFill="1" applyBorder="1" applyAlignment="1">
      <alignment horizontal="center" vertical="center" shrinkToFit="1"/>
    </xf>
    <xf numFmtId="0" fontId="3" fillId="2" borderId="45" xfId="1" applyFont="1" applyFill="1" applyBorder="1" applyAlignment="1">
      <alignment horizontal="center" vertical="center" wrapText="1"/>
    </xf>
    <xf numFmtId="0" fontId="3" fillId="2" borderId="50" xfId="1" applyFont="1" applyFill="1" applyBorder="1" applyAlignment="1">
      <alignment horizontal="center" vertical="center"/>
    </xf>
    <xf numFmtId="0" fontId="3" fillId="3" borderId="45" xfId="1" applyFont="1" applyFill="1" applyBorder="1" applyAlignment="1">
      <alignment horizontal="center" vertical="center" wrapText="1"/>
    </xf>
    <xf numFmtId="0" fontId="3" fillId="3" borderId="50" xfId="1" applyFont="1" applyFill="1" applyBorder="1" applyAlignment="1">
      <alignment horizontal="center" vertical="center"/>
    </xf>
    <xf numFmtId="0" fontId="3" fillId="17" borderId="45" xfId="1" applyFont="1" applyFill="1" applyBorder="1" applyAlignment="1">
      <alignment horizontal="center" vertical="center" wrapText="1"/>
    </xf>
    <xf numFmtId="0" fontId="3" fillId="17" borderId="50" xfId="1" applyFont="1" applyFill="1" applyBorder="1" applyAlignment="1">
      <alignment horizontal="center" vertical="center"/>
    </xf>
    <xf numFmtId="0" fontId="3" fillId="4" borderId="46" xfId="1" applyFont="1" applyFill="1" applyBorder="1" applyAlignment="1">
      <alignment horizontal="center" vertical="center"/>
    </xf>
    <xf numFmtId="0" fontId="3" fillId="4" borderId="16" xfId="1" applyFont="1" applyFill="1" applyBorder="1" applyAlignment="1">
      <alignment horizontal="center" vertical="center"/>
    </xf>
    <xf numFmtId="0" fontId="3" fillId="4" borderId="45" xfId="1" applyFont="1" applyFill="1" applyBorder="1" applyAlignment="1">
      <alignment horizontal="center" vertical="center" wrapText="1"/>
    </xf>
    <xf numFmtId="0" fontId="3" fillId="4" borderId="50" xfId="1" applyFont="1" applyFill="1" applyBorder="1" applyAlignment="1">
      <alignment horizontal="center" vertical="center"/>
    </xf>
    <xf numFmtId="0" fontId="41" fillId="0" borderId="15" xfId="1" applyFont="1" applyBorder="1" applyAlignment="1">
      <alignment horizontal="center" vertical="center"/>
    </xf>
    <xf numFmtId="0" fontId="41" fillId="0" borderId="22" xfId="1" applyFont="1" applyBorder="1" applyAlignment="1">
      <alignment horizontal="center" vertical="center"/>
    </xf>
    <xf numFmtId="181" fontId="3" fillId="9" borderId="15" xfId="1" applyNumberFormat="1" applyFont="1" applyFill="1" applyBorder="1" applyAlignment="1">
      <alignment horizontal="center" vertical="center" shrinkToFit="1"/>
    </xf>
    <xf numFmtId="181" fontId="3" fillId="9" borderId="17" xfId="1" applyNumberFormat="1" applyFont="1" applyFill="1" applyBorder="1" applyAlignment="1">
      <alignment horizontal="center" vertical="center" shrinkToFit="1"/>
    </xf>
    <xf numFmtId="181" fontId="3" fillId="9" borderId="47" xfId="1" applyNumberFormat="1" applyFont="1" applyFill="1" applyBorder="1" applyAlignment="1">
      <alignment horizontal="center" vertical="center" shrinkToFit="1"/>
    </xf>
    <xf numFmtId="0" fontId="3" fillId="9" borderId="15" xfId="1" applyFont="1" applyFill="1" applyBorder="1" applyAlignment="1">
      <alignment horizontal="center" vertical="center"/>
    </xf>
    <xf numFmtId="0" fontId="3" fillId="9" borderId="17" xfId="1" applyFont="1" applyFill="1" applyBorder="1" applyAlignment="1">
      <alignment horizontal="center" vertical="center"/>
    </xf>
    <xf numFmtId="0" fontId="3" fillId="9" borderId="47" xfId="1" applyFont="1" applyFill="1" applyBorder="1" applyAlignment="1">
      <alignment horizontal="center" vertical="center"/>
    </xf>
    <xf numFmtId="0" fontId="3" fillId="9" borderId="15" xfId="1" applyFont="1" applyFill="1" applyBorder="1" applyAlignment="1">
      <alignment horizontal="center" vertical="center" textRotation="255"/>
    </xf>
    <xf numFmtId="0" fontId="3" fillId="9" borderId="17" xfId="1" applyFont="1" applyFill="1" applyBorder="1" applyAlignment="1">
      <alignment horizontal="center" vertical="center" textRotation="255"/>
    </xf>
    <xf numFmtId="0" fontId="3" fillId="9" borderId="47" xfId="1" applyFont="1" applyFill="1" applyBorder="1" applyAlignment="1">
      <alignment horizontal="center" vertical="center" textRotation="255"/>
    </xf>
    <xf numFmtId="0" fontId="7" fillId="9" borderId="15" xfId="1" applyFont="1" applyFill="1" applyBorder="1" applyAlignment="1">
      <alignment horizontal="center" vertical="center" textRotation="255" shrinkToFit="1"/>
    </xf>
    <xf numFmtId="0" fontId="7" fillId="9" borderId="17" xfId="1" applyFont="1" applyFill="1" applyBorder="1" applyAlignment="1">
      <alignment horizontal="center" vertical="center" textRotation="255" shrinkToFit="1"/>
    </xf>
    <xf numFmtId="0" fontId="7" fillId="9" borderId="47" xfId="1" applyFont="1" applyFill="1" applyBorder="1" applyAlignment="1">
      <alignment horizontal="center" vertical="center" textRotation="255" shrinkToFit="1"/>
    </xf>
    <xf numFmtId="0" fontId="3" fillId="9" borderId="29" xfId="1" applyFont="1" applyFill="1" applyBorder="1" applyAlignment="1">
      <alignment horizontal="center" vertical="center"/>
    </xf>
    <xf numFmtId="0" fontId="3" fillId="9" borderId="14" xfId="1" applyFont="1" applyFill="1" applyBorder="1" applyAlignment="1">
      <alignment horizontal="center" vertical="center"/>
    </xf>
    <xf numFmtId="0" fontId="3" fillId="9" borderId="10" xfId="1" applyFont="1" applyFill="1" applyBorder="1" applyAlignment="1">
      <alignment horizontal="center" vertical="center"/>
    </xf>
    <xf numFmtId="0" fontId="3" fillId="9" borderId="9" xfId="1" applyFont="1" applyFill="1" applyBorder="1" applyAlignment="1">
      <alignment horizontal="center" vertical="center"/>
    </xf>
    <xf numFmtId="183" fontId="3" fillId="2" borderId="42" xfId="1" applyNumberFormat="1" applyFont="1" applyFill="1" applyBorder="1" applyAlignment="1">
      <alignment horizontal="center" vertical="center" shrinkToFit="1"/>
    </xf>
    <xf numFmtId="183" fontId="3" fillId="2" borderId="43" xfId="1" applyNumberFormat="1" applyFont="1" applyFill="1" applyBorder="1" applyAlignment="1">
      <alignment horizontal="center" vertical="center" shrinkToFit="1"/>
    </xf>
    <xf numFmtId="183" fontId="3" fillId="3" borderId="42" xfId="1" applyNumberFormat="1" applyFont="1" applyFill="1" applyBorder="1" applyAlignment="1">
      <alignment horizontal="center" vertical="center" shrinkToFit="1"/>
    </xf>
    <xf numFmtId="183" fontId="3" fillId="3" borderId="43" xfId="1" applyNumberFormat="1" applyFont="1" applyFill="1" applyBorder="1" applyAlignment="1">
      <alignment horizontal="center" vertical="center" shrinkToFit="1"/>
    </xf>
    <xf numFmtId="183" fontId="3" fillId="17" borderId="42" xfId="1" applyNumberFormat="1" applyFont="1" applyFill="1" applyBorder="1" applyAlignment="1">
      <alignment horizontal="center" vertical="center" shrinkToFit="1"/>
    </xf>
    <xf numFmtId="183" fontId="3" fillId="17" borderId="43" xfId="1" applyNumberFormat="1" applyFont="1" applyFill="1" applyBorder="1" applyAlignment="1">
      <alignment horizontal="center" vertical="center" shrinkToFit="1"/>
    </xf>
    <xf numFmtId="183" fontId="3" fillId="4" borderId="42" xfId="1" applyNumberFormat="1" applyFont="1" applyFill="1" applyBorder="1" applyAlignment="1">
      <alignment horizontal="center" vertical="center" shrinkToFit="1"/>
    </xf>
    <xf numFmtId="183" fontId="3" fillId="4" borderId="43" xfId="1" applyNumberFormat="1" applyFont="1" applyFill="1" applyBorder="1" applyAlignment="1">
      <alignment horizontal="center" vertical="center" shrinkToFit="1"/>
    </xf>
    <xf numFmtId="0" fontId="3" fillId="0" borderId="1" xfId="1" applyFont="1" applyBorder="1" applyAlignment="1">
      <alignment horizontal="center" vertical="center"/>
    </xf>
    <xf numFmtId="0" fontId="3" fillId="0" borderId="2" xfId="1" applyFont="1" applyBorder="1" applyAlignment="1">
      <alignment horizontal="center" vertical="center"/>
    </xf>
    <xf numFmtId="38" fontId="3" fillId="0" borderId="9" xfId="1" applyNumberFormat="1" applyFont="1" applyBorder="1" applyAlignment="1">
      <alignment horizontal="right" vertical="center"/>
    </xf>
    <xf numFmtId="38" fontId="3" fillId="0" borderId="9" xfId="3" applyFont="1" applyBorder="1" applyAlignment="1">
      <alignment horizontal="right" vertical="center"/>
    </xf>
    <xf numFmtId="38" fontId="3" fillId="0" borderId="31" xfId="3" applyFont="1" applyBorder="1" applyAlignment="1">
      <alignment horizontal="right" vertical="center"/>
    </xf>
    <xf numFmtId="0" fontId="3" fillId="16" borderId="9" xfId="1" applyFont="1" applyFill="1" applyBorder="1" applyAlignment="1">
      <alignment horizontal="center" vertical="center"/>
    </xf>
    <xf numFmtId="38" fontId="3" fillId="16" borderId="9" xfId="3" applyFont="1" applyFill="1" applyBorder="1" applyAlignment="1">
      <alignment horizontal="right" vertical="center"/>
    </xf>
    <xf numFmtId="176" fontId="19" fillId="16" borderId="9" xfId="3" applyNumberFormat="1" applyFont="1" applyFill="1" applyBorder="1" applyAlignment="1">
      <alignment horizontal="right" vertical="center"/>
    </xf>
    <xf numFmtId="176" fontId="3" fillId="0" borderId="9" xfId="3" applyNumberFormat="1" applyFont="1" applyBorder="1" applyAlignment="1">
      <alignment horizontal="right" vertical="center"/>
    </xf>
    <xf numFmtId="0" fontId="3" fillId="0" borderId="62" xfId="1" applyFont="1" applyBorder="1" applyAlignment="1">
      <alignment horizontal="center" vertical="center"/>
    </xf>
    <xf numFmtId="0" fontId="3" fillId="0" borderId="63" xfId="1" applyFont="1" applyBorder="1" applyAlignment="1">
      <alignment horizontal="center" vertical="center"/>
    </xf>
  </cellXfs>
  <cellStyles count="5">
    <cellStyle name="パーセント 2" xfId="4" xr:uid="{070D531A-EC3F-476E-B483-998318E0674F}"/>
    <cellStyle name="ハイパーリンク 2" xfId="2" xr:uid="{32A7CA65-6F97-4BDF-A246-15C848049137}"/>
    <cellStyle name="桁区切り 2" xfId="3" xr:uid="{4BEE2597-A08B-4E6F-B648-BCE0E487AFC6}"/>
    <cellStyle name="標準" xfId="0" builtinId="0"/>
    <cellStyle name="標準 2" xfId="1" xr:uid="{13335E6F-FE0F-4559-9A87-EF72ADD05620}"/>
  </cellStyles>
  <dxfs count="62">
    <dxf>
      <fill>
        <patternFill>
          <bgColor rgb="FFFF0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FF0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FF0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FF0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FF0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8" tint="0.79998168889431442"/>
        </patternFill>
      </fill>
    </dxf>
    <dxf>
      <font>
        <color auto="1"/>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7284</xdr:colOff>
      <xdr:row>0</xdr:row>
      <xdr:rowOff>44824</xdr:rowOff>
    </xdr:from>
    <xdr:to>
      <xdr:col>39</xdr:col>
      <xdr:colOff>123264</xdr:colOff>
      <xdr:row>2</xdr:row>
      <xdr:rowOff>14328</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67304" y="44824"/>
          <a:ext cx="8543700" cy="396224"/>
        </a:xfrm>
        <a:prstGeom prst="rect">
          <a:avLst/>
        </a:prstGeom>
        <a:ln>
          <a:headEnd/>
          <a:tailEnd/>
        </a:ln>
      </xdr:spPr>
      <xdr:style>
        <a:lnRef idx="1">
          <a:schemeClr val="accent1"/>
        </a:lnRef>
        <a:fillRef idx="3">
          <a:schemeClr val="accent1"/>
        </a:fillRef>
        <a:effectRef idx="2">
          <a:schemeClr val="accent1"/>
        </a:effectRef>
        <a:fontRef idx="minor">
          <a:schemeClr val="lt1"/>
        </a:fontRef>
      </xdr:style>
      <xdr:txBody>
        <a:bodyPr vertOverflow="clip" wrap="square" lIns="45720" tIns="22860" rIns="45720" bIns="22860" anchor="ctr" upright="1"/>
        <a:lstStyle/>
        <a:p>
          <a:pPr algn="ctr" rtl="0">
            <a:defRPr sz="1000"/>
          </a:pPr>
          <a:r>
            <a:rPr lang="ja-JP" altLang="en-US" sz="1800" b="1" i="0" u="none" strike="noStrike" baseline="0">
              <a:solidFill>
                <a:srgbClr val="FFFFFF"/>
              </a:solidFill>
              <a:latin typeface="BIZ UDゴシック" panose="020B0400000000000000" pitchFamily="49" charset="-128"/>
              <a:ea typeface="BIZ UDゴシック" panose="020B0400000000000000" pitchFamily="49" charset="-128"/>
              <a:cs typeface="メイリオ" pitchFamily="50" charset="-128"/>
            </a:rPr>
            <a:t>令和８年度　大野城市　国民健康保険税の試算シート</a:t>
          </a:r>
        </a:p>
      </xdr:txBody>
    </xdr:sp>
    <xdr:clientData/>
  </xdr:twoCellAnchor>
  <xdr:twoCellAnchor>
    <xdr:from>
      <xdr:col>1</xdr:col>
      <xdr:colOff>141942</xdr:colOff>
      <xdr:row>2</xdr:row>
      <xdr:rowOff>28680</xdr:rowOff>
    </xdr:from>
    <xdr:to>
      <xdr:col>32</xdr:col>
      <xdr:colOff>89648</xdr:colOff>
      <xdr:row>3</xdr:row>
      <xdr:rowOff>62537</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301962" y="455400"/>
          <a:ext cx="6958106" cy="399617"/>
        </a:xfrm>
        <a:prstGeom prst="rect">
          <a:avLst/>
        </a:prstGeom>
        <a:solidFill>
          <a:srgbClr val="FFFFFF"/>
        </a:solidFill>
        <a:ln w="9525">
          <a:noFill/>
          <a:prstDash val="dash"/>
          <a:miter lim="800000"/>
          <a:headEnd/>
          <a:tailEnd/>
        </a:ln>
      </xdr:spPr>
      <xdr:txBody>
        <a:bodyPr vertOverflow="clip" wrap="square" lIns="27432" tIns="18288" rIns="0" bIns="0" anchor="ctr" upright="1"/>
        <a:lstStyle/>
        <a:p>
          <a:pPr algn="l" rtl="0">
            <a:defRPr sz="1000"/>
          </a:pPr>
          <a:r>
            <a:rPr lang="ja-JP" altLang="en-US" sz="1050" b="1" i="0" u="none" strike="noStrike" baseline="0">
              <a:solidFill>
                <a:sysClr val="windowText" lastClr="000000"/>
              </a:solidFill>
              <a:latin typeface="BIZ UDゴシック" panose="020B0400000000000000" pitchFamily="49" charset="-128"/>
              <a:ea typeface="BIZ UDゴシック" panose="020B0400000000000000" pitchFamily="49" charset="-128"/>
            </a:rPr>
            <a:t>このシートは、令和８年度の国保の年間保険税と</a:t>
          </a:r>
          <a:r>
            <a:rPr lang="en-US" altLang="ja-JP" sz="1050" b="1" i="0" u="none" strike="noStrike" baseline="0">
              <a:solidFill>
                <a:sysClr val="windowText" lastClr="000000"/>
              </a:solidFill>
              <a:latin typeface="BIZ UDゴシック" panose="020B0400000000000000" pitchFamily="49" charset="-128"/>
              <a:ea typeface="BIZ UDゴシック" panose="020B0400000000000000" pitchFamily="49" charset="-128"/>
            </a:rPr>
            <a:t>1</a:t>
          </a:r>
          <a:r>
            <a:rPr lang="ja-JP" altLang="en-US" sz="1050" b="1" i="0" u="none" strike="noStrike" baseline="0">
              <a:solidFill>
                <a:sysClr val="windowText" lastClr="000000"/>
              </a:solidFill>
              <a:latin typeface="BIZ UDゴシック" panose="020B0400000000000000" pitchFamily="49" charset="-128"/>
              <a:ea typeface="BIZ UDゴシック" panose="020B0400000000000000" pitchFamily="49" charset="-128"/>
            </a:rPr>
            <a:t>か月あたりの保険税が計算できます。</a:t>
          </a:r>
          <a:endParaRPr lang="en-US" altLang="ja-JP" sz="1050" b="1" i="0" u="none" strike="noStrike" baseline="0">
            <a:solidFill>
              <a:sysClr val="windowText" lastClr="000000"/>
            </a:solidFill>
            <a:latin typeface="BIZ UDゴシック" panose="020B0400000000000000" pitchFamily="49" charset="-128"/>
            <a:ea typeface="BIZ UDゴシック" panose="020B0400000000000000" pitchFamily="49" charset="-128"/>
          </a:endParaRPr>
        </a:p>
        <a:p>
          <a:pPr algn="l" rtl="0">
            <a:defRPr sz="1000"/>
          </a:pPr>
          <a:r>
            <a:rPr lang="ja-JP" altLang="en-US" sz="1050" b="1" i="0" u="none" strike="noStrike" baseline="0">
              <a:solidFill>
                <a:srgbClr val="FF0000"/>
              </a:solidFill>
              <a:latin typeface="BIZ UDゴシック" panose="020B0400000000000000" pitchFamily="49" charset="-128"/>
              <a:ea typeface="BIZ UDゴシック" panose="020B0400000000000000" pitchFamily="49" charset="-128"/>
            </a:rPr>
            <a:t>注意事項に該当する場合は正しく計算できません。必ず注意事項は確認してください。</a:t>
          </a:r>
          <a:endParaRPr lang="en-US" altLang="ja-JP" sz="1050" b="1" i="0" u="none" strike="no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5770</xdr:colOff>
      <xdr:row>5</xdr:row>
      <xdr:rowOff>107124</xdr:rowOff>
    </xdr:from>
    <xdr:to>
      <xdr:col>8</xdr:col>
      <xdr:colOff>35181</xdr:colOff>
      <xdr:row>7</xdr:row>
      <xdr:rowOff>78600</xdr:rowOff>
    </xdr:to>
    <xdr:sp macro="" textlink="">
      <xdr:nvSpPr>
        <xdr:cNvPr id="4" name="角丸四角形 23">
          <a:extLst>
            <a:ext uri="{FF2B5EF4-FFF2-40B4-BE49-F238E27FC236}">
              <a16:creationId xmlns:a16="http://schemas.microsoft.com/office/drawing/2014/main" id="{00000000-0008-0000-0000-000004000000}"/>
            </a:ext>
          </a:extLst>
        </xdr:cNvPr>
        <xdr:cNvSpPr/>
      </xdr:nvSpPr>
      <xdr:spPr>
        <a:xfrm>
          <a:off x="165790" y="1219644"/>
          <a:ext cx="1393391" cy="291516"/>
        </a:xfrm>
        <a:prstGeom prst="round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chemeClr val="tx1">
                  <a:lumMod val="75000"/>
                  <a:lumOff val="25000"/>
                </a:schemeClr>
              </a:solidFill>
              <a:latin typeface="BIZ UDゴシック" panose="020B0400000000000000" pitchFamily="49" charset="-128"/>
              <a:ea typeface="BIZ UDゴシック" panose="020B0400000000000000" pitchFamily="49" charset="-128"/>
            </a:rPr>
            <a:t>生年月日</a:t>
          </a:r>
        </a:p>
      </xdr:txBody>
    </xdr:sp>
    <xdr:clientData/>
  </xdr:twoCellAnchor>
  <xdr:twoCellAnchor>
    <xdr:from>
      <xdr:col>1</xdr:col>
      <xdr:colOff>6393</xdr:colOff>
      <xdr:row>7</xdr:row>
      <xdr:rowOff>113872</xdr:rowOff>
    </xdr:from>
    <xdr:to>
      <xdr:col>8</xdr:col>
      <xdr:colOff>35804</xdr:colOff>
      <xdr:row>11</xdr:row>
      <xdr:rowOff>24276</xdr:rowOff>
    </xdr:to>
    <xdr:sp macro="" textlink="">
      <xdr:nvSpPr>
        <xdr:cNvPr id="5" name="角丸四角形 24">
          <a:extLst>
            <a:ext uri="{FF2B5EF4-FFF2-40B4-BE49-F238E27FC236}">
              <a16:creationId xmlns:a16="http://schemas.microsoft.com/office/drawing/2014/main" id="{00000000-0008-0000-0000-000005000000}"/>
            </a:ext>
          </a:extLst>
        </xdr:cNvPr>
        <xdr:cNvSpPr/>
      </xdr:nvSpPr>
      <xdr:spPr>
        <a:xfrm>
          <a:off x="166413" y="1546432"/>
          <a:ext cx="1393391" cy="680024"/>
        </a:xfrm>
        <a:prstGeom prst="round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u="none">
              <a:solidFill>
                <a:schemeClr val="tx1">
                  <a:lumMod val="75000"/>
                  <a:lumOff val="25000"/>
                </a:schemeClr>
              </a:solidFill>
              <a:latin typeface="BIZ UDゴシック" panose="020B0400000000000000" pitchFamily="49" charset="-128"/>
              <a:ea typeface="BIZ UDゴシック" panose="020B0400000000000000" pitchFamily="49" charset="-128"/>
              <a:cs typeface="+mn-cs"/>
            </a:rPr>
            <a:t>収入・所得金額</a:t>
          </a:r>
          <a:endParaRPr lang="ja-JP" altLang="ja-JP" sz="1100" u="none">
            <a:solidFill>
              <a:schemeClr val="tx1">
                <a:lumMod val="75000"/>
                <a:lumOff val="25000"/>
              </a:schemeClr>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4789</xdr:colOff>
      <xdr:row>11</xdr:row>
      <xdr:rowOff>56934</xdr:rowOff>
    </xdr:from>
    <xdr:to>
      <xdr:col>8</xdr:col>
      <xdr:colOff>34200</xdr:colOff>
      <xdr:row>15</xdr:row>
      <xdr:rowOff>0</xdr:rowOff>
    </xdr:to>
    <xdr:sp macro="" textlink="">
      <xdr:nvSpPr>
        <xdr:cNvPr id="6" name="角丸四角形 25">
          <a:extLst>
            <a:ext uri="{FF2B5EF4-FFF2-40B4-BE49-F238E27FC236}">
              <a16:creationId xmlns:a16="http://schemas.microsoft.com/office/drawing/2014/main" id="{00000000-0008-0000-0000-000006000000}"/>
            </a:ext>
          </a:extLst>
        </xdr:cNvPr>
        <xdr:cNvSpPr/>
      </xdr:nvSpPr>
      <xdr:spPr>
        <a:xfrm>
          <a:off x="164809" y="2259114"/>
          <a:ext cx="1393391" cy="651726"/>
        </a:xfrm>
        <a:prstGeom prst="round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chemeClr val="tx1">
                  <a:lumMod val="75000"/>
                  <a:lumOff val="25000"/>
                </a:schemeClr>
              </a:solidFill>
              <a:latin typeface="BIZ UDゴシック" panose="020B0400000000000000" pitchFamily="49" charset="-128"/>
              <a:ea typeface="BIZ UDゴシック" panose="020B0400000000000000" pitchFamily="49" charset="-128"/>
            </a:rPr>
            <a:t>非自発的失業者</a:t>
          </a:r>
        </a:p>
      </xdr:txBody>
    </xdr:sp>
    <xdr:clientData/>
  </xdr:twoCellAnchor>
  <xdr:twoCellAnchor>
    <xdr:from>
      <xdr:col>8</xdr:col>
      <xdr:colOff>104589</xdr:colOff>
      <xdr:row>5</xdr:row>
      <xdr:rowOff>107126</xdr:rowOff>
    </xdr:from>
    <xdr:to>
      <xdr:col>39</xdr:col>
      <xdr:colOff>130250</xdr:colOff>
      <xdr:row>7</xdr:row>
      <xdr:rowOff>78602</xdr:rowOff>
    </xdr:to>
    <xdr:sp macro="" textlink="">
      <xdr:nvSpPr>
        <xdr:cNvPr id="7" name="角丸四角形 26">
          <a:extLst>
            <a:ext uri="{FF2B5EF4-FFF2-40B4-BE49-F238E27FC236}">
              <a16:creationId xmlns:a16="http://schemas.microsoft.com/office/drawing/2014/main" id="{00000000-0008-0000-0000-000007000000}"/>
            </a:ext>
          </a:extLst>
        </xdr:cNvPr>
        <xdr:cNvSpPr/>
      </xdr:nvSpPr>
      <xdr:spPr>
        <a:xfrm>
          <a:off x="1628589" y="1219646"/>
          <a:ext cx="7089401" cy="291516"/>
        </a:xfrm>
        <a:prstGeom prst="roundRect">
          <a:avLst>
            <a:gd name="adj" fmla="val 0"/>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0" bIns="0" rtlCol="0" anchor="ctr"/>
        <a:lstStyle/>
        <a:p>
          <a:pPr>
            <a:lnSpc>
              <a:spcPts val="1100"/>
            </a:lnSpc>
          </a:pPr>
          <a:r>
            <a:rPr lang="ja-JP" altLang="en-US" sz="1050" b="0" i="0" baseline="0">
              <a:solidFill>
                <a:sysClr val="windowText" lastClr="000000"/>
              </a:solidFill>
              <a:latin typeface="BIZ UDゴシック" panose="020B0400000000000000" pitchFamily="49" charset="-128"/>
              <a:ea typeface="BIZ UDゴシック" panose="020B0400000000000000" pitchFamily="49" charset="-128"/>
              <a:cs typeface="+mn-cs"/>
            </a:rPr>
            <a:t>世帯主及び加入者の生年月日を入力してください。生年月日を入力した対象者が計算の対象となります。</a:t>
          </a:r>
          <a:endParaRPr kumimoji="1" lang="ja-JP" altLang="ja-JP" sz="1050">
            <a:solidFill>
              <a:sysClr val="windowText" lastClr="000000"/>
            </a:solidFill>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8</xdr:col>
      <xdr:colOff>100853</xdr:colOff>
      <xdr:row>7</xdr:row>
      <xdr:rowOff>108017</xdr:rowOff>
    </xdr:from>
    <xdr:to>
      <xdr:col>39</xdr:col>
      <xdr:colOff>132324</xdr:colOff>
      <xdr:row>11</xdr:row>
      <xdr:rowOff>18421</xdr:rowOff>
    </xdr:to>
    <xdr:sp macro="" textlink="">
      <xdr:nvSpPr>
        <xdr:cNvPr id="8" name="角丸四角形 27">
          <a:extLst>
            <a:ext uri="{FF2B5EF4-FFF2-40B4-BE49-F238E27FC236}">
              <a16:creationId xmlns:a16="http://schemas.microsoft.com/office/drawing/2014/main" id="{00000000-0008-0000-0000-000008000000}"/>
            </a:ext>
          </a:extLst>
        </xdr:cNvPr>
        <xdr:cNvSpPr/>
      </xdr:nvSpPr>
      <xdr:spPr>
        <a:xfrm>
          <a:off x="1624853" y="1540577"/>
          <a:ext cx="7095211" cy="680024"/>
        </a:xfrm>
        <a:prstGeom prst="roundRect">
          <a:avLst>
            <a:gd name="adj" fmla="val 0"/>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0" bIns="0" rtlCol="0" anchor="ctr"/>
        <a:lstStyle/>
        <a:p>
          <a:pPr algn="l" rtl="0">
            <a:lnSpc>
              <a:spcPts val="1200"/>
            </a:lnSpc>
            <a:defRPr sz="1000"/>
          </a:pPr>
          <a:r>
            <a:rPr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世帯主及び加入者の令和</a:t>
          </a:r>
          <a:r>
            <a:rPr lang="ja-JP" altLang="en-US" sz="1000" b="0" i="0" u="none" strike="noStrike" baseline="0">
              <a:solidFill>
                <a:srgbClr val="FF0000"/>
              </a:solidFill>
              <a:latin typeface="BIZ UDゴシック" panose="020B0400000000000000" pitchFamily="49" charset="-128"/>
              <a:ea typeface="BIZ UDゴシック" panose="020B0400000000000000" pitchFamily="49" charset="-128"/>
            </a:rPr>
            <a:t>７</a:t>
          </a:r>
          <a:r>
            <a:rPr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年中の収入・所得金額を入力してください。</a:t>
          </a:r>
        </a:p>
        <a:p>
          <a:pPr algn="l" rtl="0">
            <a:lnSpc>
              <a:spcPts val="1200"/>
            </a:lnSpc>
            <a:defRPr sz="1000"/>
          </a:pPr>
          <a:r>
            <a:rPr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世帯主は、加入しない場合でも必ず入力してください。</a:t>
          </a:r>
          <a:endParaRPr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00" b="0" i="0" u="none" strike="noStrike" baseline="0">
              <a:solidFill>
                <a:srgbClr val="FF0000"/>
              </a:solidFill>
              <a:latin typeface="BIZ UDゴシック" panose="020B0400000000000000" pitchFamily="49" charset="-128"/>
              <a:ea typeface="BIZ UDゴシック" panose="020B0400000000000000" pitchFamily="49" charset="-128"/>
            </a:rPr>
            <a:t>給与・年金は </a:t>
          </a:r>
          <a:r>
            <a:rPr lang="ja-JP" altLang="en-US" sz="1000" b="1" i="0" u="none" strike="noStrike" baseline="0">
              <a:solidFill>
                <a:srgbClr val="FF0000"/>
              </a:solidFill>
              <a:latin typeface="BIZ UDゴシック" panose="020B0400000000000000" pitchFamily="49" charset="-128"/>
              <a:ea typeface="BIZ UDゴシック" panose="020B0400000000000000" pitchFamily="49" charset="-128"/>
            </a:rPr>
            <a:t>収入</a:t>
          </a:r>
          <a:r>
            <a:rPr lang="ja-JP" altLang="en-US" sz="1000" b="0" i="0" u="none" strike="noStrike" baseline="0">
              <a:solidFill>
                <a:srgbClr val="FF0000"/>
              </a:solidFill>
              <a:latin typeface="BIZ UDゴシック" panose="020B0400000000000000" pitchFamily="49" charset="-128"/>
              <a:ea typeface="BIZ UDゴシック" panose="020B0400000000000000" pitchFamily="49" charset="-128"/>
            </a:rPr>
            <a:t>金額</a:t>
          </a:r>
          <a:r>
            <a:rPr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を入力し，その他の所得（営業所得，不動産所得、雑所得、一時所得、譲渡所得等）は</a:t>
          </a:r>
          <a:r>
            <a:rPr lang="ja-JP" altLang="en-US" sz="1000" b="0" i="0" u="none" strike="noStrike" baseline="0">
              <a:solidFill>
                <a:srgbClr val="FF0000"/>
              </a:solidFill>
              <a:latin typeface="BIZ UDゴシック" panose="020B0400000000000000" pitchFamily="49" charset="-128"/>
              <a:ea typeface="BIZ UDゴシック" panose="020B0400000000000000" pitchFamily="49" charset="-128"/>
            </a:rPr>
            <a:t>所得金額</a:t>
          </a:r>
          <a:r>
            <a:rPr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を「その他所得」に入力してください。</a:t>
          </a:r>
        </a:p>
      </xdr:txBody>
    </xdr:sp>
    <xdr:clientData/>
  </xdr:twoCellAnchor>
  <xdr:twoCellAnchor>
    <xdr:from>
      <xdr:col>8</xdr:col>
      <xdr:colOff>100853</xdr:colOff>
      <xdr:row>11</xdr:row>
      <xdr:rowOff>56099</xdr:rowOff>
    </xdr:from>
    <xdr:to>
      <xdr:col>39</xdr:col>
      <xdr:colOff>132324</xdr:colOff>
      <xdr:row>15</xdr:row>
      <xdr:rowOff>0</xdr:rowOff>
    </xdr:to>
    <xdr:sp macro="" textlink="">
      <xdr:nvSpPr>
        <xdr:cNvPr id="9" name="角丸四角形 28">
          <a:extLst>
            <a:ext uri="{FF2B5EF4-FFF2-40B4-BE49-F238E27FC236}">
              <a16:creationId xmlns:a16="http://schemas.microsoft.com/office/drawing/2014/main" id="{00000000-0008-0000-0000-000009000000}"/>
            </a:ext>
          </a:extLst>
        </xdr:cNvPr>
        <xdr:cNvSpPr/>
      </xdr:nvSpPr>
      <xdr:spPr>
        <a:xfrm>
          <a:off x="1624853" y="2258279"/>
          <a:ext cx="7095211" cy="652561"/>
        </a:xfrm>
        <a:prstGeom prst="roundRect">
          <a:avLst>
            <a:gd name="adj" fmla="val 0"/>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0" bIns="0" rtlCol="0" anchor="ctr"/>
        <a:lstStyle/>
        <a:p>
          <a:pPr algn="l" rtl="0">
            <a:lnSpc>
              <a:spcPts val="1200"/>
            </a:lnSpc>
            <a:defRPr sz="1000"/>
          </a:pPr>
          <a:r>
            <a:rPr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前年中の所得に</a:t>
          </a:r>
          <a:r>
            <a:rPr lang="ja-JP" altLang="en-US" sz="1000" b="0" i="0" u="none" strike="noStrike" baseline="0">
              <a:solidFill>
                <a:srgbClr val="FF0000"/>
              </a:solidFill>
              <a:latin typeface="BIZ UDゴシック" panose="020B0400000000000000" pitchFamily="49" charset="-128"/>
              <a:ea typeface="BIZ UDゴシック" panose="020B0400000000000000" pitchFamily="49" charset="-128"/>
            </a:rPr>
            <a:t>給与所得がある</a:t>
          </a:r>
          <a:r>
            <a:rPr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方で離職日時点での年齢が</a:t>
          </a:r>
          <a:r>
            <a:rPr lang="ja-JP" altLang="en-US" sz="1000" b="0" i="0" u="none" strike="noStrike" baseline="0">
              <a:solidFill>
                <a:srgbClr val="FF0000"/>
              </a:solidFill>
              <a:latin typeface="BIZ UDゴシック" panose="020B0400000000000000" pitchFamily="49" charset="-128"/>
              <a:ea typeface="BIZ UDゴシック" panose="020B0400000000000000" pitchFamily="49" charset="-128"/>
            </a:rPr>
            <a:t>６４歳以下</a:t>
          </a:r>
          <a:r>
            <a:rPr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かつ離職理由が倒産、解雇、雇い止めなどによる方は、保険税の軽減制度に該当する可能性があります。軽減に該当した場合の税額を試算する場合は、□に○を選択してください。詳細については、市ホームページに掲載しています。</a:t>
          </a:r>
        </a:p>
      </xdr:txBody>
    </xdr:sp>
    <xdr:clientData/>
  </xdr:twoCellAnchor>
  <xdr:twoCellAnchor>
    <xdr:from>
      <xdr:col>0</xdr:col>
      <xdr:colOff>0</xdr:colOff>
      <xdr:row>49</xdr:row>
      <xdr:rowOff>87085</xdr:rowOff>
    </xdr:from>
    <xdr:to>
      <xdr:col>39</xdr:col>
      <xdr:colOff>22412</xdr:colOff>
      <xdr:row>62</xdr:row>
      <xdr:rowOff>119742</xdr:rowOff>
    </xdr:to>
    <xdr:sp macro="" textlink="">
      <xdr:nvSpPr>
        <xdr:cNvPr id="10" name="角丸四角形 29">
          <a:extLst>
            <a:ext uri="{FF2B5EF4-FFF2-40B4-BE49-F238E27FC236}">
              <a16:creationId xmlns:a16="http://schemas.microsoft.com/office/drawing/2014/main" id="{00000000-0008-0000-0000-00000A000000}"/>
            </a:ext>
          </a:extLst>
        </xdr:cNvPr>
        <xdr:cNvSpPr/>
      </xdr:nvSpPr>
      <xdr:spPr>
        <a:xfrm>
          <a:off x="0" y="11321142"/>
          <a:ext cx="8665669" cy="2155371"/>
        </a:xfrm>
        <a:prstGeom prst="roundRect">
          <a:avLst>
            <a:gd name="adj" fmla="val 4657"/>
          </a:avLst>
        </a:prstGeom>
        <a:solidFill>
          <a:schemeClr val="bg1">
            <a:lumMod val="9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rtl="0">
            <a:defRPr sz="1000"/>
          </a:pPr>
          <a:endParaRPr lang="ja-JP" altLang="en-US" sz="1100" b="0" i="0" u="none" strike="noStrike" baseline="0">
            <a:solidFill>
              <a:srgbClr val="333333"/>
            </a:solidFill>
            <a:latin typeface="BIZ UDゴシック" panose="020B0400000000000000" pitchFamily="49" charset="-128"/>
            <a:ea typeface="BIZ UDゴシック" panose="020B0400000000000000" pitchFamily="49" charset="-128"/>
          </a:endParaRPr>
        </a:p>
        <a:p>
          <a:pPr algn="l" rtl="0">
            <a:lnSpc>
              <a:spcPts val="1300"/>
            </a:lnSpc>
            <a:defRPr sz="1000"/>
          </a:pPr>
          <a:endParaRPr lang="en-US" altLang="ja-JP" sz="1050" b="0" i="0" u="none" strike="noStrike" baseline="0">
            <a:solidFill>
              <a:srgbClr val="333333"/>
            </a:solidFill>
            <a:latin typeface="BIZ UDゴシック" panose="020B0400000000000000" pitchFamily="49" charset="-128"/>
            <a:ea typeface="BIZ UDゴシック" panose="020B0400000000000000" pitchFamily="49" charset="-128"/>
          </a:endParaRPr>
        </a:p>
        <a:p>
          <a:pPr algn="l" rtl="0">
            <a:lnSpc>
              <a:spcPts val="1300"/>
            </a:lnSpc>
            <a:defRPr sz="1000"/>
          </a:pPr>
          <a:r>
            <a:rPr lang="ja-JP" altLang="en-US" sz="1400" b="0" i="0" u="none" strike="noStrike" baseline="0">
              <a:solidFill>
                <a:srgbClr val="333333"/>
              </a:solidFill>
              <a:latin typeface="BIZ UDゴシック" panose="020B0400000000000000" pitchFamily="49" charset="-128"/>
              <a:ea typeface="BIZ UDゴシック" panose="020B0400000000000000" pitchFamily="49" charset="-128"/>
            </a:rPr>
            <a:t>※</a:t>
          </a:r>
          <a:r>
            <a:rPr lang="ja-JP" altLang="en-US" sz="1400" b="0" i="0" u="none" strike="noStrike" baseline="0">
              <a:solidFill>
                <a:srgbClr val="FF0000"/>
              </a:solidFill>
              <a:latin typeface="BIZ UDゴシック" panose="020B0400000000000000" pitchFamily="49" charset="-128"/>
              <a:ea typeface="BIZ UDゴシック" panose="020B0400000000000000" pitchFamily="49" charset="-128"/>
            </a:rPr>
            <a:t>上記結果はあくまでも試算であり、実際の保険税額と異なる場合があります。</a:t>
          </a:r>
        </a:p>
        <a:p>
          <a:pPr algn="l" rtl="0">
            <a:defRPr sz="1000"/>
          </a:pPr>
          <a:r>
            <a:rPr lang="ja-JP" altLang="en-US" sz="1200" b="0" i="0" u="none" strike="noStrike" baseline="0">
              <a:solidFill>
                <a:srgbClr val="333333"/>
              </a:solidFill>
              <a:latin typeface="BIZ UDゴシック" panose="020B0400000000000000" pitchFamily="49" charset="-128"/>
              <a:ea typeface="BIZ UDゴシック" panose="020B0400000000000000" pitchFamily="49" charset="-128"/>
            </a:rPr>
            <a:t>※次のいずれかの項目に該当する場合は、このシートでは正しく計算できません。</a:t>
          </a:r>
          <a:endParaRPr lang="en-US" altLang="ja-JP" sz="1200" b="0" i="0" u="none" strike="noStrike" baseline="0">
            <a:solidFill>
              <a:srgbClr val="333333"/>
            </a:solidFill>
            <a:latin typeface="BIZ UDゴシック" panose="020B0400000000000000" pitchFamily="49" charset="-128"/>
            <a:ea typeface="BIZ UDゴシック" panose="020B0400000000000000" pitchFamily="49" charset="-128"/>
          </a:endParaRPr>
        </a:p>
        <a:p>
          <a:pPr algn="l" rtl="0">
            <a:defRPr sz="1000"/>
          </a:pPr>
          <a:r>
            <a:rPr lang="ja-JP" altLang="en-US" sz="1200" b="0" i="0" u="none" strike="noStrike" baseline="0">
              <a:solidFill>
                <a:srgbClr val="333333"/>
              </a:solidFill>
              <a:latin typeface="BIZ UDゴシック" panose="020B0400000000000000" pitchFamily="49" charset="-128"/>
              <a:ea typeface="BIZ UDゴシック" panose="020B0400000000000000" pitchFamily="49" charset="-128"/>
            </a:rPr>
            <a:t>　 </a:t>
          </a:r>
          <a:r>
            <a:rPr lang="en-US" altLang="ja-JP" sz="1200" b="0" i="0" u="none" strike="noStrike" baseline="0">
              <a:solidFill>
                <a:srgbClr val="333333"/>
              </a:solidFill>
              <a:latin typeface="BIZ UDゴシック" panose="020B0400000000000000" pitchFamily="49" charset="-128"/>
              <a:ea typeface="BIZ UDゴシック" panose="020B0400000000000000" pitchFamily="49" charset="-128"/>
            </a:rPr>
            <a:t>(</a:t>
          </a:r>
          <a:r>
            <a:rPr lang="ja-JP" altLang="en-US" sz="1200" b="0" i="0" u="none" strike="noStrike" baseline="0">
              <a:solidFill>
                <a:srgbClr val="333333"/>
              </a:solidFill>
              <a:latin typeface="BIZ UDゴシック" panose="020B0400000000000000" pitchFamily="49" charset="-128"/>
              <a:ea typeface="BIZ UDゴシック" panose="020B0400000000000000" pitchFamily="49" charset="-128"/>
            </a:rPr>
            <a:t>１）年度の途中に</a:t>
          </a:r>
          <a:r>
            <a:rPr lang="ja-JP" altLang="en-US" sz="1200" b="0" i="0" u="sng" strike="noStrike" baseline="0">
              <a:solidFill>
                <a:srgbClr val="333333"/>
              </a:solidFill>
              <a:latin typeface="BIZ UDゴシック" panose="020B0400000000000000" pitchFamily="49" charset="-128"/>
              <a:ea typeface="BIZ UDゴシック" panose="020B0400000000000000" pitchFamily="49" charset="-128"/>
            </a:rPr>
            <a:t>加入者の所得</a:t>
          </a:r>
          <a:r>
            <a:rPr lang="ja-JP" altLang="en-US" sz="1200" b="0" i="0" u="none" strike="noStrike" baseline="0">
              <a:solidFill>
                <a:srgbClr val="333333"/>
              </a:solidFill>
              <a:latin typeface="BIZ UDゴシック" panose="020B0400000000000000" pitchFamily="49" charset="-128"/>
              <a:ea typeface="BIZ UDゴシック" panose="020B0400000000000000" pitchFamily="49" charset="-128"/>
            </a:rPr>
            <a:t>や</a:t>
          </a:r>
          <a:r>
            <a:rPr lang="ja-JP" altLang="en-US" sz="1200" b="0" i="0" u="sng" strike="noStrike" baseline="0">
              <a:solidFill>
                <a:srgbClr val="333333"/>
              </a:solidFill>
              <a:latin typeface="BIZ UDゴシック" panose="020B0400000000000000" pitchFamily="49" charset="-128"/>
              <a:ea typeface="BIZ UDゴシック" panose="020B0400000000000000" pitchFamily="49" charset="-128"/>
            </a:rPr>
            <a:t>加入人数</a:t>
          </a:r>
          <a:r>
            <a:rPr lang="ja-JP" altLang="en-US" sz="1200" b="0" i="0" u="none" strike="noStrike" baseline="0">
              <a:solidFill>
                <a:srgbClr val="333333"/>
              </a:solidFill>
              <a:latin typeface="BIZ UDゴシック" panose="020B0400000000000000" pitchFamily="49" charset="-128"/>
              <a:ea typeface="BIZ UDゴシック" panose="020B0400000000000000" pitchFamily="49" charset="-128"/>
            </a:rPr>
            <a:t>が変わる場合</a:t>
          </a:r>
        </a:p>
        <a:p>
          <a:pPr algn="l" rtl="0">
            <a:defRPr sz="1000"/>
          </a:pPr>
          <a:r>
            <a:rPr lang="ja-JP" altLang="en-US" sz="1200" b="0" i="0" u="none" strike="noStrike" baseline="0">
              <a:solidFill>
                <a:srgbClr val="333333"/>
              </a:solidFill>
              <a:latin typeface="BIZ UDゴシック" panose="020B0400000000000000" pitchFamily="49" charset="-128"/>
              <a:ea typeface="BIZ UDゴシック" panose="020B0400000000000000" pitchFamily="49" charset="-128"/>
            </a:rPr>
            <a:t>　（２）年度の途中に加入者が４０歳、６５歳、７５歳に到達する場合</a:t>
          </a:r>
        </a:p>
        <a:p>
          <a:pPr algn="l" rtl="0">
            <a:lnSpc>
              <a:spcPts val="1300"/>
            </a:lnSpc>
            <a:defRPr sz="1000"/>
          </a:pPr>
          <a:r>
            <a:rPr lang="ja-JP" altLang="en-US" sz="1200" b="0" i="0" u="none" strike="noStrike" baseline="0">
              <a:solidFill>
                <a:srgbClr val="333333"/>
              </a:solidFill>
              <a:latin typeface="BIZ UDゴシック" panose="020B0400000000000000" pitchFamily="49" charset="-128"/>
              <a:ea typeface="BIZ UDゴシック" panose="020B0400000000000000" pitchFamily="49" charset="-128"/>
            </a:rPr>
            <a:t>　（３）青色事業専従者給与額及び事業専従者控除額を必要経費として算入している場合</a:t>
          </a:r>
        </a:p>
        <a:p>
          <a:pPr algn="l" rtl="0">
            <a:defRPr sz="1000"/>
          </a:pPr>
          <a:r>
            <a:rPr lang="ja-JP" altLang="en-US" sz="1200" b="0" i="0" u="none" strike="noStrike" baseline="0">
              <a:solidFill>
                <a:srgbClr val="333333"/>
              </a:solidFill>
              <a:latin typeface="BIZ UDゴシック" panose="020B0400000000000000" pitchFamily="49" charset="-128"/>
              <a:ea typeface="BIZ UDゴシック" panose="020B0400000000000000" pitchFamily="49" charset="-128"/>
            </a:rPr>
            <a:t>　（４）事業専従者給与の所得がある場合</a:t>
          </a:r>
        </a:p>
        <a:p>
          <a:pPr algn="l" rtl="0">
            <a:lnSpc>
              <a:spcPts val="1300"/>
            </a:lnSpc>
            <a:defRPr sz="1000"/>
          </a:pPr>
          <a:r>
            <a:rPr lang="ja-JP" altLang="en-US" sz="1200" b="0" i="0" u="none" strike="noStrike" baseline="0">
              <a:solidFill>
                <a:srgbClr val="333333"/>
              </a:solidFill>
              <a:latin typeface="BIZ UDゴシック" panose="020B0400000000000000" pitchFamily="49" charset="-128"/>
              <a:ea typeface="BIZ UDゴシック" panose="020B0400000000000000" pitchFamily="49" charset="-128"/>
            </a:rPr>
            <a:t>　（５）分離課税所得（土地・株式等の譲渡所得、退職所得等）がある場合</a:t>
          </a:r>
          <a:endParaRPr lang="en-US" altLang="ja-JP" sz="1200" b="0" i="0" u="none" strike="noStrike" baseline="0">
            <a:solidFill>
              <a:srgbClr val="333333"/>
            </a:solidFill>
            <a:latin typeface="BIZ UDゴシック" panose="020B0400000000000000" pitchFamily="49" charset="-128"/>
            <a:ea typeface="BIZ UDゴシック" panose="020B0400000000000000" pitchFamily="49" charset="-128"/>
          </a:endParaRPr>
        </a:p>
        <a:p>
          <a:pPr algn="l" rtl="0">
            <a:lnSpc>
              <a:spcPts val="1300"/>
            </a:lnSpc>
            <a:defRPr sz="1000"/>
          </a:pPr>
          <a:r>
            <a:rPr lang="ja-JP" altLang="en-US" sz="1200" b="0" i="0" u="none" strike="noStrike" baseline="0">
              <a:solidFill>
                <a:srgbClr val="333333"/>
              </a:solidFill>
              <a:latin typeface="BIZ UDゴシック" panose="020B0400000000000000" pitchFamily="49" charset="-128"/>
              <a:ea typeface="BIZ UDゴシック" panose="020B0400000000000000" pitchFamily="49" charset="-128"/>
            </a:rPr>
            <a:t>　（６）給与収入が８５０万円超で、子育て・介護世帯に適用される「所得金額調整控除」が適用される場合</a:t>
          </a:r>
          <a:endParaRPr lang="en-US" altLang="ja-JP" sz="1200" b="0" i="0" u="none" strike="noStrike" baseline="0">
            <a:solidFill>
              <a:srgbClr val="333333"/>
            </a:solidFill>
            <a:latin typeface="BIZ UDゴシック" panose="020B0400000000000000" pitchFamily="49" charset="-128"/>
            <a:ea typeface="BIZ UDゴシック" panose="020B0400000000000000" pitchFamily="49" charset="-128"/>
          </a:endParaRPr>
        </a:p>
        <a:p>
          <a:pPr algn="l" rtl="0">
            <a:lnSpc>
              <a:spcPts val="1300"/>
            </a:lnSpc>
            <a:defRPr sz="1000"/>
          </a:pPr>
          <a:r>
            <a:rPr lang="ja-JP" altLang="en-US" sz="1200" b="0" i="0" u="none" strike="noStrike" baseline="0">
              <a:solidFill>
                <a:srgbClr val="333333"/>
              </a:solidFill>
              <a:latin typeface="BIZ UDゴシック" panose="020B0400000000000000" pitchFamily="49" charset="-128"/>
              <a:ea typeface="BIZ UDゴシック" panose="020B0400000000000000" pitchFamily="49" charset="-128"/>
            </a:rPr>
            <a:t>　（７）合計所得金額が２，４００万円を超える場合</a:t>
          </a:r>
          <a:endParaRPr lang="en-US" altLang="ja-JP" sz="1200" b="0" i="0" u="none" strike="noStrike" baseline="0">
            <a:solidFill>
              <a:srgbClr val="333333"/>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1</xdr:col>
      <xdr:colOff>10247</xdr:colOff>
      <xdr:row>49</xdr:row>
      <xdr:rowOff>152912</xdr:rowOff>
    </xdr:from>
    <xdr:to>
      <xdr:col>2</xdr:col>
      <xdr:colOff>67877</xdr:colOff>
      <xdr:row>51</xdr:row>
      <xdr:rowOff>83518</xdr:rowOff>
    </xdr:to>
    <xdr:pic>
      <xdr:nvPicPr>
        <xdr:cNvPr id="11" name="図 30" descr="error_mark.gif">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533" y="11430512"/>
          <a:ext cx="275344" cy="257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63701</xdr:colOff>
      <xdr:row>49</xdr:row>
      <xdr:rowOff>141302</xdr:rowOff>
    </xdr:from>
    <xdr:ext cx="1203524" cy="298824"/>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44701" y="11418902"/>
          <a:ext cx="1203524" cy="298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72000" tIns="0" rIns="72000" bIns="0" rtlCol="0" anchor="t">
          <a:noAutofit/>
        </a:bodyPr>
        <a:lstStyle/>
        <a:p>
          <a:pPr algn="l"/>
          <a:r>
            <a:rPr kumimoji="1" lang="ja-JP" altLang="en-US" sz="1400" b="1">
              <a:solidFill>
                <a:srgbClr val="C00000"/>
              </a:solidFill>
              <a:latin typeface="Meiryo UI" panose="020B0604030504040204" pitchFamily="50" charset="-128"/>
              <a:ea typeface="Meiryo UI" panose="020B0604030504040204" pitchFamily="50" charset="-128"/>
            </a:rPr>
            <a:t>注意事項</a:t>
          </a:r>
        </a:p>
      </xdr:txBody>
    </xdr:sp>
    <xdr:clientData/>
  </xdr:oneCellAnchor>
  <xdr:twoCellAnchor>
    <xdr:from>
      <xdr:col>16</xdr:col>
      <xdr:colOff>53788</xdr:colOff>
      <xdr:row>33</xdr:row>
      <xdr:rowOff>42318</xdr:rowOff>
    </xdr:from>
    <xdr:to>
      <xdr:col>17</xdr:col>
      <xdr:colOff>77828</xdr:colOff>
      <xdr:row>33</xdr:row>
      <xdr:rowOff>277906</xdr:rowOff>
    </xdr:to>
    <xdr:grpSp>
      <xdr:nvGrpSpPr>
        <xdr:cNvPr id="13" name="Group 18">
          <a:extLst>
            <a:ext uri="{FF2B5EF4-FFF2-40B4-BE49-F238E27FC236}">
              <a16:creationId xmlns:a16="http://schemas.microsoft.com/office/drawing/2014/main" id="{00000000-0008-0000-0000-00000D000000}"/>
            </a:ext>
          </a:extLst>
        </xdr:cNvPr>
        <xdr:cNvGrpSpPr>
          <a:grpSpLocks/>
        </xdr:cNvGrpSpPr>
      </xdr:nvGrpSpPr>
      <xdr:grpSpPr bwMode="auto">
        <a:xfrm>
          <a:off x="4125045" y="7477261"/>
          <a:ext cx="263526" cy="235588"/>
          <a:chOff x="248" y="493"/>
          <a:chExt cx="29" cy="24"/>
        </a:xfrm>
      </xdr:grpSpPr>
      <xdr:sp macro="" textlink="">
        <xdr:nvSpPr>
          <xdr:cNvPr id="14" name="Oval 13">
            <a:extLst>
              <a:ext uri="{FF2B5EF4-FFF2-40B4-BE49-F238E27FC236}">
                <a16:creationId xmlns:a16="http://schemas.microsoft.com/office/drawing/2014/main" id="{00000000-0008-0000-0000-00000E000000}"/>
              </a:ext>
            </a:extLst>
          </xdr:cNvPr>
          <xdr:cNvSpPr>
            <a:spLocks noChangeArrowheads="1"/>
          </xdr:cNvSpPr>
        </xdr:nvSpPr>
        <xdr:spPr bwMode="auto">
          <a:xfrm>
            <a:off x="249" y="493"/>
            <a:ext cx="24" cy="24"/>
          </a:xfrm>
          <a:prstGeom prst="ellipse">
            <a:avLst/>
          </a:prstGeom>
          <a:solidFill>
            <a:srgbClr val="000000"/>
          </a:solidFill>
          <a:ln w="9525">
            <a:solidFill>
              <a:srgbClr val="000000"/>
            </a:solidFill>
            <a:round/>
            <a:headEnd/>
            <a:tailEnd/>
          </a:ln>
        </xdr:spPr>
      </xdr:sp>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248" y="493"/>
            <a:ext cx="29" cy="23"/>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Ｐゴシック"/>
                <a:ea typeface="ＭＳ Ｐゴシック"/>
              </a:rPr>
              <a:t>3</a:t>
            </a:r>
          </a:p>
        </xdr:txBody>
      </xdr:sp>
    </xdr:grpSp>
    <xdr:clientData/>
  </xdr:twoCellAnchor>
  <xdr:twoCellAnchor editAs="oneCell">
    <xdr:from>
      <xdr:col>24</xdr:col>
      <xdr:colOff>106622</xdr:colOff>
      <xdr:row>15</xdr:row>
      <xdr:rowOff>2988</xdr:rowOff>
    </xdr:from>
    <xdr:to>
      <xdr:col>40</xdr:col>
      <xdr:colOff>74706</xdr:colOff>
      <xdr:row>17</xdr:row>
      <xdr:rowOff>29883</xdr:rowOff>
    </xdr:to>
    <xdr:sp macro="" textlink="">
      <xdr:nvSpPr>
        <xdr:cNvPr id="16" name="テキスト ボックス 52">
          <a:extLst>
            <a:ext uri="{FF2B5EF4-FFF2-40B4-BE49-F238E27FC236}">
              <a16:creationId xmlns:a16="http://schemas.microsoft.com/office/drawing/2014/main" id="{00000000-0008-0000-0000-000010000000}"/>
            </a:ext>
          </a:extLst>
        </xdr:cNvPr>
        <xdr:cNvSpPr txBox="1">
          <a:spLocks noChangeArrowheads="1"/>
        </xdr:cNvSpPr>
      </xdr:nvSpPr>
      <xdr:spPr bwMode="auto">
        <a:xfrm>
          <a:off x="5722562" y="2913828"/>
          <a:ext cx="3092284" cy="19453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0" i="0" strike="noStrike">
              <a:solidFill>
                <a:srgbClr val="000000"/>
              </a:solidFill>
              <a:latin typeface="BIZ UDゴシック" panose="020B0400000000000000" pitchFamily="49" charset="-128"/>
              <a:ea typeface="BIZ UDゴシック" panose="020B0400000000000000" pitchFamily="49" charset="-128"/>
            </a:rPr>
            <a:t>※</a:t>
          </a:r>
          <a:r>
            <a:rPr lang="ja-JP" altLang="en-US" sz="1050" b="0" i="0" strike="noStrike">
              <a:solidFill>
                <a:srgbClr val="000000"/>
              </a:solidFill>
              <a:latin typeface="BIZ UDゴシック" panose="020B0400000000000000" pitchFamily="49" charset="-128"/>
              <a:ea typeface="BIZ UDゴシック" panose="020B0400000000000000" pitchFamily="49" charset="-128"/>
            </a:rPr>
            <a:t>収入・所得は、直接入力することも可能です。</a:t>
          </a:r>
          <a:endParaRPr lang="en-US" altLang="ja-JP" sz="1050" b="0" i="0" strike="noStrike">
            <a:solidFill>
              <a:srgbClr val="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43426</xdr:colOff>
      <xdr:row>33</xdr:row>
      <xdr:rowOff>42155</xdr:rowOff>
    </xdr:from>
    <xdr:to>
      <xdr:col>7</xdr:col>
      <xdr:colOff>108661</xdr:colOff>
      <xdr:row>33</xdr:row>
      <xdr:rowOff>258155</xdr:rowOff>
    </xdr:to>
    <xdr:grpSp>
      <xdr:nvGrpSpPr>
        <xdr:cNvPr id="17" name="Group 11">
          <a:extLst>
            <a:ext uri="{FF2B5EF4-FFF2-40B4-BE49-F238E27FC236}">
              <a16:creationId xmlns:a16="http://schemas.microsoft.com/office/drawing/2014/main" id="{00000000-0008-0000-0000-000011000000}"/>
            </a:ext>
          </a:extLst>
        </xdr:cNvPr>
        <xdr:cNvGrpSpPr>
          <a:grpSpLocks/>
        </xdr:cNvGrpSpPr>
      </xdr:nvGrpSpPr>
      <xdr:grpSpPr bwMode="auto">
        <a:xfrm>
          <a:off x="1208197" y="7477098"/>
          <a:ext cx="250293" cy="216000"/>
          <a:chOff x="134" y="487"/>
          <a:chExt cx="28" cy="24"/>
        </a:xfrm>
      </xdr:grpSpPr>
      <xdr:sp macro="" textlink="">
        <xdr:nvSpPr>
          <xdr:cNvPr id="18" name="Oval 9">
            <a:extLst>
              <a:ext uri="{FF2B5EF4-FFF2-40B4-BE49-F238E27FC236}">
                <a16:creationId xmlns:a16="http://schemas.microsoft.com/office/drawing/2014/main" id="{00000000-0008-0000-0000-000012000000}"/>
              </a:ext>
            </a:extLst>
          </xdr:cNvPr>
          <xdr:cNvSpPr>
            <a:spLocks noChangeArrowheads="1"/>
          </xdr:cNvSpPr>
        </xdr:nvSpPr>
        <xdr:spPr bwMode="auto">
          <a:xfrm>
            <a:off x="135" y="487"/>
            <a:ext cx="24" cy="24"/>
          </a:xfrm>
          <a:prstGeom prst="ellipse">
            <a:avLst/>
          </a:prstGeom>
          <a:solidFill>
            <a:srgbClr val="000000"/>
          </a:solidFill>
          <a:ln w="9525">
            <a:solidFill>
              <a:srgbClr val="000000"/>
            </a:solidFill>
            <a:round/>
            <a:headEnd/>
            <a:tailEnd/>
          </a:ln>
        </xdr:spPr>
      </xdr:sp>
      <xdr:sp macro="" textlink="">
        <xdr:nvSpPr>
          <xdr:cNvPr id="19" name="Text Box 10">
            <a:extLst>
              <a:ext uri="{FF2B5EF4-FFF2-40B4-BE49-F238E27FC236}">
                <a16:creationId xmlns:a16="http://schemas.microsoft.com/office/drawing/2014/main" id="{00000000-0008-0000-0000-000013000000}"/>
              </a:ext>
            </a:extLst>
          </xdr:cNvPr>
          <xdr:cNvSpPr txBox="1">
            <a:spLocks noChangeArrowheads="1"/>
          </xdr:cNvSpPr>
        </xdr:nvSpPr>
        <xdr:spPr bwMode="auto">
          <a:xfrm>
            <a:off x="134" y="488"/>
            <a:ext cx="28" cy="23"/>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Ｐゴシック"/>
                <a:ea typeface="ＭＳ Ｐゴシック"/>
              </a:rPr>
              <a:t>1</a:t>
            </a:r>
          </a:p>
        </xdr:txBody>
      </xdr:sp>
    </xdr:grpSp>
    <xdr:clientData/>
  </xdr:twoCellAnchor>
  <xdr:twoCellAnchor>
    <xdr:from>
      <xdr:col>23</xdr:col>
      <xdr:colOff>13998</xdr:colOff>
      <xdr:row>33</xdr:row>
      <xdr:rowOff>55284</xdr:rowOff>
    </xdr:from>
    <xdr:to>
      <xdr:col>24</xdr:col>
      <xdr:colOff>64292</xdr:colOff>
      <xdr:row>33</xdr:row>
      <xdr:rowOff>271284</xdr:rowOff>
    </xdr:to>
    <xdr:grpSp>
      <xdr:nvGrpSpPr>
        <xdr:cNvPr id="20" name="Group 18">
          <a:extLst>
            <a:ext uri="{FF2B5EF4-FFF2-40B4-BE49-F238E27FC236}">
              <a16:creationId xmlns:a16="http://schemas.microsoft.com/office/drawing/2014/main" id="{00000000-0008-0000-0000-000014000000}"/>
            </a:ext>
          </a:extLst>
        </xdr:cNvPr>
        <xdr:cNvGrpSpPr>
          <a:grpSpLocks/>
        </xdr:cNvGrpSpPr>
      </xdr:nvGrpSpPr>
      <xdr:grpSpPr bwMode="auto">
        <a:xfrm>
          <a:off x="5456855" y="7490227"/>
          <a:ext cx="257123" cy="216000"/>
          <a:chOff x="246" y="493"/>
          <a:chExt cx="29" cy="24"/>
        </a:xfrm>
      </xdr:grpSpPr>
      <xdr:sp macro="" textlink="">
        <xdr:nvSpPr>
          <xdr:cNvPr id="21" name="Oval 13">
            <a:extLst>
              <a:ext uri="{FF2B5EF4-FFF2-40B4-BE49-F238E27FC236}">
                <a16:creationId xmlns:a16="http://schemas.microsoft.com/office/drawing/2014/main" id="{00000000-0008-0000-0000-000015000000}"/>
              </a:ext>
            </a:extLst>
          </xdr:cNvPr>
          <xdr:cNvSpPr>
            <a:spLocks noChangeArrowheads="1"/>
          </xdr:cNvSpPr>
        </xdr:nvSpPr>
        <xdr:spPr bwMode="auto">
          <a:xfrm>
            <a:off x="249" y="493"/>
            <a:ext cx="24" cy="24"/>
          </a:xfrm>
          <a:prstGeom prst="ellipse">
            <a:avLst/>
          </a:prstGeom>
          <a:solidFill>
            <a:srgbClr val="000000"/>
          </a:solidFill>
          <a:ln w="9525">
            <a:solidFill>
              <a:srgbClr val="000000"/>
            </a:solidFill>
            <a:round/>
            <a:headEnd/>
            <a:tailEnd/>
          </a:ln>
        </xdr:spPr>
      </xdr:sp>
      <xdr:sp macro="" textlink="">
        <xdr:nvSpPr>
          <xdr:cNvPr id="22" name="Text Box 14">
            <a:extLst>
              <a:ext uri="{FF2B5EF4-FFF2-40B4-BE49-F238E27FC236}">
                <a16:creationId xmlns:a16="http://schemas.microsoft.com/office/drawing/2014/main" id="{00000000-0008-0000-0000-000016000000}"/>
              </a:ext>
            </a:extLst>
          </xdr:cNvPr>
          <xdr:cNvSpPr txBox="1">
            <a:spLocks noChangeArrowheads="1"/>
          </xdr:cNvSpPr>
        </xdr:nvSpPr>
        <xdr:spPr bwMode="auto">
          <a:xfrm>
            <a:off x="246" y="493"/>
            <a:ext cx="29" cy="23"/>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Ｐゴシック"/>
                <a:ea typeface="ＭＳ Ｐゴシック"/>
              </a:rPr>
              <a:t>4</a:t>
            </a:r>
          </a:p>
        </xdr:txBody>
      </xdr:sp>
    </xdr:grpSp>
    <xdr:clientData/>
  </xdr:twoCellAnchor>
  <xdr:twoCellAnchor>
    <xdr:from>
      <xdr:col>30</xdr:col>
      <xdr:colOff>44674</xdr:colOff>
      <xdr:row>41</xdr:row>
      <xdr:rowOff>44824</xdr:rowOff>
    </xdr:from>
    <xdr:to>
      <xdr:col>31</xdr:col>
      <xdr:colOff>107266</xdr:colOff>
      <xdr:row>41</xdr:row>
      <xdr:rowOff>273424</xdr:rowOff>
    </xdr:to>
    <xdr:grpSp>
      <xdr:nvGrpSpPr>
        <xdr:cNvPr id="23" name="Group 32">
          <a:extLst>
            <a:ext uri="{FF2B5EF4-FFF2-40B4-BE49-F238E27FC236}">
              <a16:creationId xmlns:a16="http://schemas.microsoft.com/office/drawing/2014/main" id="{00000000-0008-0000-0000-000017000000}"/>
            </a:ext>
          </a:extLst>
        </xdr:cNvPr>
        <xdr:cNvGrpSpPr>
          <a:grpSpLocks/>
        </xdr:cNvGrpSpPr>
      </xdr:nvGrpSpPr>
      <xdr:grpSpPr bwMode="auto">
        <a:xfrm>
          <a:off x="6848245" y="9526281"/>
          <a:ext cx="269421" cy="228600"/>
          <a:chOff x="247" y="493"/>
          <a:chExt cx="29" cy="24"/>
        </a:xfrm>
      </xdr:grpSpPr>
      <xdr:sp macro="" textlink="">
        <xdr:nvSpPr>
          <xdr:cNvPr id="24" name="Oval 33">
            <a:extLst>
              <a:ext uri="{FF2B5EF4-FFF2-40B4-BE49-F238E27FC236}">
                <a16:creationId xmlns:a16="http://schemas.microsoft.com/office/drawing/2014/main" id="{00000000-0008-0000-0000-000018000000}"/>
              </a:ext>
            </a:extLst>
          </xdr:cNvPr>
          <xdr:cNvSpPr>
            <a:spLocks noChangeArrowheads="1"/>
          </xdr:cNvSpPr>
        </xdr:nvSpPr>
        <xdr:spPr bwMode="auto">
          <a:xfrm>
            <a:off x="249" y="493"/>
            <a:ext cx="24" cy="24"/>
          </a:xfrm>
          <a:prstGeom prst="ellipse">
            <a:avLst/>
          </a:prstGeom>
          <a:solidFill>
            <a:srgbClr val="000000"/>
          </a:solidFill>
          <a:ln w="9525">
            <a:solidFill>
              <a:srgbClr val="000000"/>
            </a:solidFill>
            <a:round/>
            <a:headEnd/>
            <a:tailEnd/>
          </a:ln>
        </xdr:spPr>
      </xdr:sp>
      <xdr:sp macro="" textlink="">
        <xdr:nvSpPr>
          <xdr:cNvPr id="25" name="Text Box 34">
            <a:extLst>
              <a:ext uri="{FF2B5EF4-FFF2-40B4-BE49-F238E27FC236}">
                <a16:creationId xmlns:a16="http://schemas.microsoft.com/office/drawing/2014/main" id="{00000000-0008-0000-0000-000019000000}"/>
              </a:ext>
            </a:extLst>
          </xdr:cNvPr>
          <xdr:cNvSpPr txBox="1">
            <a:spLocks noChangeArrowheads="1"/>
          </xdr:cNvSpPr>
        </xdr:nvSpPr>
        <xdr:spPr bwMode="auto">
          <a:xfrm>
            <a:off x="247" y="493"/>
            <a:ext cx="29" cy="23"/>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FFFFFF"/>
                </a:solidFill>
                <a:latin typeface="ＭＳ Ｐゴシック"/>
                <a:ea typeface="ＭＳ Ｐゴシック"/>
              </a:rPr>
              <a:t>＝</a:t>
            </a:r>
          </a:p>
        </xdr:txBody>
      </xdr:sp>
    </xdr:grpSp>
    <xdr:clientData/>
  </xdr:twoCellAnchor>
  <xdr:twoCellAnchor>
    <xdr:from>
      <xdr:col>1</xdr:col>
      <xdr:colOff>11631</xdr:colOff>
      <xdr:row>3</xdr:row>
      <xdr:rowOff>101271</xdr:rowOff>
    </xdr:from>
    <xdr:to>
      <xdr:col>8</xdr:col>
      <xdr:colOff>41042</xdr:colOff>
      <xdr:row>5</xdr:row>
      <xdr:rowOff>72748</xdr:rowOff>
    </xdr:to>
    <xdr:sp macro="" textlink="">
      <xdr:nvSpPr>
        <xdr:cNvPr id="26" name="角丸四角形 23">
          <a:extLst>
            <a:ext uri="{FF2B5EF4-FFF2-40B4-BE49-F238E27FC236}">
              <a16:creationId xmlns:a16="http://schemas.microsoft.com/office/drawing/2014/main" id="{00000000-0008-0000-0000-00001A000000}"/>
            </a:ext>
          </a:extLst>
        </xdr:cNvPr>
        <xdr:cNvSpPr/>
      </xdr:nvSpPr>
      <xdr:spPr>
        <a:xfrm>
          <a:off x="171651" y="893751"/>
          <a:ext cx="1393391" cy="291517"/>
        </a:xfrm>
        <a:prstGeom prst="round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chemeClr val="tx1">
                  <a:lumMod val="75000"/>
                  <a:lumOff val="25000"/>
                </a:schemeClr>
              </a:solidFill>
              <a:latin typeface="BIZ UDゴシック" panose="020B0400000000000000" pitchFamily="49" charset="-128"/>
              <a:ea typeface="BIZ UDゴシック" panose="020B0400000000000000" pitchFamily="49" charset="-128"/>
            </a:rPr>
            <a:t>世帯主加入有無</a:t>
          </a:r>
        </a:p>
      </xdr:txBody>
    </xdr:sp>
    <xdr:clientData/>
  </xdr:twoCellAnchor>
  <xdr:twoCellAnchor>
    <xdr:from>
      <xdr:col>8</xdr:col>
      <xdr:colOff>110447</xdr:colOff>
      <xdr:row>3</xdr:row>
      <xdr:rowOff>101271</xdr:rowOff>
    </xdr:from>
    <xdr:to>
      <xdr:col>39</xdr:col>
      <xdr:colOff>136108</xdr:colOff>
      <xdr:row>5</xdr:row>
      <xdr:rowOff>72748</xdr:rowOff>
    </xdr:to>
    <xdr:sp macro="" textlink="">
      <xdr:nvSpPr>
        <xdr:cNvPr id="27" name="角丸四角形 26">
          <a:extLst>
            <a:ext uri="{FF2B5EF4-FFF2-40B4-BE49-F238E27FC236}">
              <a16:creationId xmlns:a16="http://schemas.microsoft.com/office/drawing/2014/main" id="{00000000-0008-0000-0000-00001B000000}"/>
            </a:ext>
          </a:extLst>
        </xdr:cNvPr>
        <xdr:cNvSpPr/>
      </xdr:nvSpPr>
      <xdr:spPr>
        <a:xfrm>
          <a:off x="1634447" y="893751"/>
          <a:ext cx="7089401" cy="291517"/>
        </a:xfrm>
        <a:prstGeom prst="roundRect">
          <a:avLst>
            <a:gd name="adj" fmla="val 0"/>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0" bIns="0" rtlCol="0" anchor="ctr"/>
        <a:lstStyle/>
        <a:p>
          <a:pPr>
            <a:lnSpc>
              <a:spcPts val="1100"/>
            </a:lnSpc>
          </a:pPr>
          <a:r>
            <a:rPr lang="ja-JP" altLang="en-US" sz="1050" b="0" i="0" baseline="0">
              <a:solidFill>
                <a:sysClr val="windowText" lastClr="000000"/>
              </a:solidFill>
              <a:latin typeface="BIZ UDゴシック" panose="020B0400000000000000" pitchFamily="49" charset="-128"/>
              <a:ea typeface="BIZ UDゴシック" panose="020B0400000000000000" pitchFamily="49" charset="-128"/>
              <a:cs typeface="+mn-cs"/>
            </a:rPr>
            <a:t>世帯主が国保に「加入する」か「加入しない」かを選択してください。</a:t>
          </a:r>
          <a:endParaRPr kumimoji="1" lang="ja-JP" altLang="ja-JP" sz="1050">
            <a:solidFill>
              <a:sysClr val="windowText" lastClr="000000"/>
            </a:solidFill>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11</xdr:col>
      <xdr:colOff>62753</xdr:colOff>
      <xdr:row>33</xdr:row>
      <xdr:rowOff>33354</xdr:rowOff>
    </xdr:from>
    <xdr:to>
      <xdr:col>12</xdr:col>
      <xdr:colOff>59899</xdr:colOff>
      <xdr:row>33</xdr:row>
      <xdr:rowOff>268942</xdr:rowOff>
    </xdr:to>
    <xdr:grpSp>
      <xdr:nvGrpSpPr>
        <xdr:cNvPr id="28" name="Group 18">
          <a:extLst>
            <a:ext uri="{FF2B5EF4-FFF2-40B4-BE49-F238E27FC236}">
              <a16:creationId xmlns:a16="http://schemas.microsoft.com/office/drawing/2014/main" id="{00000000-0008-0000-0000-00001C000000}"/>
            </a:ext>
          </a:extLst>
        </xdr:cNvPr>
        <xdr:cNvGrpSpPr>
          <a:grpSpLocks/>
        </xdr:cNvGrpSpPr>
      </xdr:nvGrpSpPr>
      <xdr:grpSpPr bwMode="auto">
        <a:xfrm>
          <a:off x="2675324" y="7468297"/>
          <a:ext cx="258404" cy="235588"/>
          <a:chOff x="248" y="493"/>
          <a:chExt cx="29" cy="24"/>
        </a:xfrm>
      </xdr:grpSpPr>
      <xdr:sp macro="" textlink="">
        <xdr:nvSpPr>
          <xdr:cNvPr id="29" name="Oval 13">
            <a:extLst>
              <a:ext uri="{FF2B5EF4-FFF2-40B4-BE49-F238E27FC236}">
                <a16:creationId xmlns:a16="http://schemas.microsoft.com/office/drawing/2014/main" id="{00000000-0008-0000-0000-00001D000000}"/>
              </a:ext>
            </a:extLst>
          </xdr:cNvPr>
          <xdr:cNvSpPr>
            <a:spLocks noChangeArrowheads="1"/>
          </xdr:cNvSpPr>
        </xdr:nvSpPr>
        <xdr:spPr bwMode="auto">
          <a:xfrm>
            <a:off x="249" y="493"/>
            <a:ext cx="24" cy="24"/>
          </a:xfrm>
          <a:prstGeom prst="ellipse">
            <a:avLst/>
          </a:prstGeom>
          <a:solidFill>
            <a:srgbClr val="000000"/>
          </a:solidFill>
          <a:ln w="9525">
            <a:solidFill>
              <a:srgbClr val="000000"/>
            </a:solidFill>
            <a:round/>
            <a:headEnd/>
            <a:tailEnd/>
          </a:ln>
        </xdr:spPr>
      </xdr:sp>
      <xdr:sp macro="" textlink="">
        <xdr:nvSpPr>
          <xdr:cNvPr id="30" name="Text Box 14">
            <a:extLst>
              <a:ext uri="{FF2B5EF4-FFF2-40B4-BE49-F238E27FC236}">
                <a16:creationId xmlns:a16="http://schemas.microsoft.com/office/drawing/2014/main" id="{00000000-0008-0000-0000-00001E000000}"/>
              </a:ext>
            </a:extLst>
          </xdr:cNvPr>
          <xdr:cNvSpPr txBox="1">
            <a:spLocks noChangeArrowheads="1"/>
          </xdr:cNvSpPr>
        </xdr:nvSpPr>
        <xdr:spPr bwMode="auto">
          <a:xfrm>
            <a:off x="248" y="493"/>
            <a:ext cx="29" cy="23"/>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Ｐゴシック"/>
                <a:ea typeface="ＭＳ Ｐゴシック"/>
              </a:rPr>
              <a:t>2</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25979</xdr:colOff>
      <xdr:row>6</xdr:row>
      <xdr:rowOff>129887</xdr:rowOff>
    </xdr:from>
    <xdr:to>
      <xdr:col>10</xdr:col>
      <xdr:colOff>292679</xdr:colOff>
      <xdr:row>13</xdr:row>
      <xdr:rowOff>162213</xdr:rowOff>
    </xdr:to>
    <xdr:sp macro="" textlink="">
      <xdr:nvSpPr>
        <xdr:cNvPr id="2" name="AutoShape 138">
          <a:extLst>
            <a:ext uri="{FF2B5EF4-FFF2-40B4-BE49-F238E27FC236}">
              <a16:creationId xmlns:a16="http://schemas.microsoft.com/office/drawing/2014/main" id="{00000000-0008-0000-0100-000002000000}"/>
            </a:ext>
          </a:extLst>
        </xdr:cNvPr>
        <xdr:cNvSpPr>
          <a:spLocks/>
        </xdr:cNvSpPr>
      </xdr:nvSpPr>
      <xdr:spPr bwMode="auto">
        <a:xfrm>
          <a:off x="6198179" y="1509107"/>
          <a:ext cx="266700" cy="1815406"/>
        </a:xfrm>
        <a:prstGeom prst="rightBrace">
          <a:avLst>
            <a:gd name="adj1" fmla="val 47315"/>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135083</xdr:colOff>
      <xdr:row>6</xdr:row>
      <xdr:rowOff>135082</xdr:rowOff>
    </xdr:from>
    <xdr:to>
      <xdr:col>15</xdr:col>
      <xdr:colOff>193965</xdr:colOff>
      <xdr:row>13</xdr:row>
      <xdr:rowOff>167408</xdr:rowOff>
    </xdr:to>
    <xdr:sp macro="" textlink="">
      <xdr:nvSpPr>
        <xdr:cNvPr id="3" name="AutoShape 138">
          <a:extLst>
            <a:ext uri="{FF2B5EF4-FFF2-40B4-BE49-F238E27FC236}">
              <a16:creationId xmlns:a16="http://schemas.microsoft.com/office/drawing/2014/main" id="{00000000-0008-0000-0100-000003000000}"/>
            </a:ext>
          </a:extLst>
        </xdr:cNvPr>
        <xdr:cNvSpPr>
          <a:spLocks/>
        </xdr:cNvSpPr>
      </xdr:nvSpPr>
      <xdr:spPr bwMode="auto">
        <a:xfrm>
          <a:off x="9256223" y="1514302"/>
          <a:ext cx="196042" cy="1807786"/>
        </a:xfrm>
        <a:prstGeom prst="rightBrace">
          <a:avLst>
            <a:gd name="adj1" fmla="val 47315"/>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17318</xdr:colOff>
      <xdr:row>14</xdr:row>
      <xdr:rowOff>0</xdr:rowOff>
    </xdr:from>
    <xdr:to>
      <xdr:col>15</xdr:col>
      <xdr:colOff>169718</xdr:colOff>
      <xdr:row>16</xdr:row>
      <xdr:rowOff>242742</xdr:rowOff>
    </xdr:to>
    <xdr:sp macro="" textlink="">
      <xdr:nvSpPr>
        <xdr:cNvPr id="4" name="AutoShape 138">
          <a:extLst>
            <a:ext uri="{FF2B5EF4-FFF2-40B4-BE49-F238E27FC236}">
              <a16:creationId xmlns:a16="http://schemas.microsoft.com/office/drawing/2014/main" id="{00000000-0008-0000-0100-000004000000}"/>
            </a:ext>
          </a:extLst>
        </xdr:cNvPr>
        <xdr:cNvSpPr>
          <a:spLocks/>
        </xdr:cNvSpPr>
      </xdr:nvSpPr>
      <xdr:spPr bwMode="auto">
        <a:xfrm>
          <a:off x="9275618" y="3322320"/>
          <a:ext cx="152400" cy="760902"/>
        </a:xfrm>
        <a:prstGeom prst="rightBrace">
          <a:avLst>
            <a:gd name="adj1" fmla="val 47402"/>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22514</xdr:colOff>
      <xdr:row>17</xdr:row>
      <xdr:rowOff>13854</xdr:rowOff>
    </xdr:from>
    <xdr:to>
      <xdr:col>15</xdr:col>
      <xdr:colOff>174914</xdr:colOff>
      <xdr:row>18</xdr:row>
      <xdr:rowOff>256596</xdr:rowOff>
    </xdr:to>
    <xdr:sp macro="" textlink="">
      <xdr:nvSpPr>
        <xdr:cNvPr id="5" name="AutoShape 138">
          <a:extLst>
            <a:ext uri="{FF2B5EF4-FFF2-40B4-BE49-F238E27FC236}">
              <a16:creationId xmlns:a16="http://schemas.microsoft.com/office/drawing/2014/main" id="{00000000-0008-0000-0100-000005000000}"/>
            </a:ext>
          </a:extLst>
        </xdr:cNvPr>
        <xdr:cNvSpPr>
          <a:spLocks/>
        </xdr:cNvSpPr>
      </xdr:nvSpPr>
      <xdr:spPr bwMode="auto">
        <a:xfrm>
          <a:off x="9280814" y="4113414"/>
          <a:ext cx="152400" cy="501822"/>
        </a:xfrm>
        <a:prstGeom prst="rightBrace">
          <a:avLst>
            <a:gd name="adj1" fmla="val 47402"/>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43297</xdr:colOff>
      <xdr:row>0</xdr:row>
      <xdr:rowOff>112569</xdr:rowOff>
    </xdr:from>
    <xdr:to>
      <xdr:col>19</xdr:col>
      <xdr:colOff>138545</xdr:colOff>
      <xdr:row>2</xdr:row>
      <xdr:rowOff>77932</xdr:rowOff>
    </xdr:to>
    <xdr:sp macro="" textlink="">
      <xdr:nvSpPr>
        <xdr:cNvPr id="6" name="Text Box 16">
          <a:extLst>
            <a:ext uri="{FF2B5EF4-FFF2-40B4-BE49-F238E27FC236}">
              <a16:creationId xmlns:a16="http://schemas.microsoft.com/office/drawing/2014/main" id="{00000000-0008-0000-0100-000006000000}"/>
            </a:ext>
          </a:extLst>
        </xdr:cNvPr>
        <xdr:cNvSpPr txBox="1">
          <a:spLocks noChangeArrowheads="1"/>
        </xdr:cNvSpPr>
      </xdr:nvSpPr>
      <xdr:spPr bwMode="auto">
        <a:xfrm>
          <a:off x="340477" y="112569"/>
          <a:ext cx="10961368" cy="483523"/>
        </a:xfrm>
        <a:prstGeom prst="rect">
          <a:avLst/>
        </a:prstGeom>
        <a:ln>
          <a:headEnd/>
          <a:tailEnd/>
        </a:ln>
      </xdr:spPr>
      <xdr:style>
        <a:lnRef idx="1">
          <a:schemeClr val="accent1"/>
        </a:lnRef>
        <a:fillRef idx="3">
          <a:schemeClr val="accent1"/>
        </a:fillRef>
        <a:effectRef idx="2">
          <a:schemeClr val="accent1"/>
        </a:effectRef>
        <a:fontRef idx="minor">
          <a:schemeClr val="lt1"/>
        </a:fontRef>
      </xdr:style>
      <xdr:txBody>
        <a:bodyPr vertOverflow="clip" wrap="square" lIns="45720" tIns="22860" rIns="45720" bIns="22860" anchor="ctr" upright="1"/>
        <a:lstStyle/>
        <a:p>
          <a:pPr algn="ctr" rtl="0">
            <a:defRPr sz="1000"/>
          </a:pPr>
          <a:r>
            <a:rPr lang="ja-JP" altLang="en-US" sz="2000" b="1" i="0" u="none" strike="noStrike" baseline="0">
              <a:solidFill>
                <a:srgbClr val="FFFFFF"/>
              </a:solidFill>
              <a:latin typeface="BIZ UDゴシック" panose="020B0400000000000000" pitchFamily="49" charset="-128"/>
              <a:ea typeface="BIZ UDゴシック" panose="020B0400000000000000" pitchFamily="49" charset="-128"/>
              <a:cs typeface="メイリオ"/>
            </a:rPr>
            <a:t>令和８年度　大野城市　国民健康保険税　計算式　（詳細）</a:t>
          </a:r>
        </a:p>
      </xdr:txBody>
    </xdr:sp>
    <xdr:clientData/>
  </xdr:twoCellAnchor>
  <xdr:twoCellAnchor>
    <xdr:from>
      <xdr:col>10</xdr:col>
      <xdr:colOff>25978</xdr:colOff>
      <xdr:row>24</xdr:row>
      <xdr:rowOff>147205</xdr:rowOff>
    </xdr:from>
    <xdr:to>
      <xdr:col>10</xdr:col>
      <xdr:colOff>292678</xdr:colOff>
      <xdr:row>31</xdr:row>
      <xdr:rowOff>179531</xdr:rowOff>
    </xdr:to>
    <xdr:sp macro="" textlink="">
      <xdr:nvSpPr>
        <xdr:cNvPr id="7" name="AutoShape 138">
          <a:extLst>
            <a:ext uri="{FF2B5EF4-FFF2-40B4-BE49-F238E27FC236}">
              <a16:creationId xmlns:a16="http://schemas.microsoft.com/office/drawing/2014/main" id="{00000000-0008-0000-0100-000007000000}"/>
            </a:ext>
          </a:extLst>
        </xdr:cNvPr>
        <xdr:cNvSpPr>
          <a:spLocks/>
        </xdr:cNvSpPr>
      </xdr:nvSpPr>
      <xdr:spPr bwMode="auto">
        <a:xfrm>
          <a:off x="6198178" y="6060325"/>
          <a:ext cx="266700" cy="1792546"/>
        </a:xfrm>
        <a:prstGeom prst="rightBrace">
          <a:avLst>
            <a:gd name="adj1" fmla="val 47315"/>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135083</xdr:colOff>
      <xdr:row>24</xdr:row>
      <xdr:rowOff>135082</xdr:rowOff>
    </xdr:from>
    <xdr:to>
      <xdr:col>15</xdr:col>
      <xdr:colOff>193965</xdr:colOff>
      <xdr:row>31</xdr:row>
      <xdr:rowOff>167408</xdr:rowOff>
    </xdr:to>
    <xdr:sp macro="" textlink="">
      <xdr:nvSpPr>
        <xdr:cNvPr id="8" name="AutoShape 138">
          <a:extLst>
            <a:ext uri="{FF2B5EF4-FFF2-40B4-BE49-F238E27FC236}">
              <a16:creationId xmlns:a16="http://schemas.microsoft.com/office/drawing/2014/main" id="{00000000-0008-0000-0100-000008000000}"/>
            </a:ext>
          </a:extLst>
        </xdr:cNvPr>
        <xdr:cNvSpPr>
          <a:spLocks/>
        </xdr:cNvSpPr>
      </xdr:nvSpPr>
      <xdr:spPr bwMode="auto">
        <a:xfrm>
          <a:off x="9256223" y="6048202"/>
          <a:ext cx="196042" cy="1807786"/>
        </a:xfrm>
        <a:prstGeom prst="rightBrace">
          <a:avLst>
            <a:gd name="adj1" fmla="val 47315"/>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17318</xdr:colOff>
      <xdr:row>32</xdr:row>
      <xdr:rowOff>0</xdr:rowOff>
    </xdr:from>
    <xdr:to>
      <xdr:col>15</xdr:col>
      <xdr:colOff>169718</xdr:colOff>
      <xdr:row>34</xdr:row>
      <xdr:rowOff>242742</xdr:rowOff>
    </xdr:to>
    <xdr:sp macro="" textlink="">
      <xdr:nvSpPr>
        <xdr:cNvPr id="9" name="AutoShape 138">
          <a:extLst>
            <a:ext uri="{FF2B5EF4-FFF2-40B4-BE49-F238E27FC236}">
              <a16:creationId xmlns:a16="http://schemas.microsoft.com/office/drawing/2014/main" id="{00000000-0008-0000-0100-000009000000}"/>
            </a:ext>
          </a:extLst>
        </xdr:cNvPr>
        <xdr:cNvSpPr>
          <a:spLocks/>
        </xdr:cNvSpPr>
      </xdr:nvSpPr>
      <xdr:spPr bwMode="auto">
        <a:xfrm>
          <a:off x="9275618" y="7856220"/>
          <a:ext cx="152400" cy="760902"/>
        </a:xfrm>
        <a:prstGeom prst="rightBrace">
          <a:avLst>
            <a:gd name="adj1" fmla="val 47402"/>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22514</xdr:colOff>
      <xdr:row>35</xdr:row>
      <xdr:rowOff>13854</xdr:rowOff>
    </xdr:from>
    <xdr:to>
      <xdr:col>15</xdr:col>
      <xdr:colOff>174914</xdr:colOff>
      <xdr:row>36</xdr:row>
      <xdr:rowOff>256596</xdr:rowOff>
    </xdr:to>
    <xdr:sp macro="" textlink="">
      <xdr:nvSpPr>
        <xdr:cNvPr id="10" name="AutoShape 138">
          <a:extLst>
            <a:ext uri="{FF2B5EF4-FFF2-40B4-BE49-F238E27FC236}">
              <a16:creationId xmlns:a16="http://schemas.microsoft.com/office/drawing/2014/main" id="{00000000-0008-0000-0100-00000A000000}"/>
            </a:ext>
          </a:extLst>
        </xdr:cNvPr>
        <xdr:cNvSpPr>
          <a:spLocks/>
        </xdr:cNvSpPr>
      </xdr:nvSpPr>
      <xdr:spPr bwMode="auto">
        <a:xfrm>
          <a:off x="9280814" y="8647314"/>
          <a:ext cx="152400" cy="501822"/>
        </a:xfrm>
        <a:prstGeom prst="rightBrace">
          <a:avLst>
            <a:gd name="adj1" fmla="val 47402"/>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17319</xdr:colOff>
      <xdr:row>42</xdr:row>
      <xdr:rowOff>138547</xdr:rowOff>
    </xdr:from>
    <xdr:to>
      <xdr:col>10</xdr:col>
      <xdr:colOff>284019</xdr:colOff>
      <xdr:row>49</xdr:row>
      <xdr:rowOff>170873</xdr:rowOff>
    </xdr:to>
    <xdr:sp macro="" textlink="">
      <xdr:nvSpPr>
        <xdr:cNvPr id="11" name="AutoShape 138">
          <a:extLst>
            <a:ext uri="{FF2B5EF4-FFF2-40B4-BE49-F238E27FC236}">
              <a16:creationId xmlns:a16="http://schemas.microsoft.com/office/drawing/2014/main" id="{00000000-0008-0000-0100-00000B000000}"/>
            </a:ext>
          </a:extLst>
        </xdr:cNvPr>
        <xdr:cNvSpPr>
          <a:spLocks/>
        </xdr:cNvSpPr>
      </xdr:nvSpPr>
      <xdr:spPr bwMode="auto">
        <a:xfrm>
          <a:off x="6189519" y="10616047"/>
          <a:ext cx="266700" cy="1807786"/>
        </a:xfrm>
        <a:prstGeom prst="rightBrace">
          <a:avLst>
            <a:gd name="adj1" fmla="val 47315"/>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135083</xdr:colOff>
      <xdr:row>42</xdr:row>
      <xdr:rowOff>135082</xdr:rowOff>
    </xdr:from>
    <xdr:to>
      <xdr:col>15</xdr:col>
      <xdr:colOff>193965</xdr:colOff>
      <xdr:row>49</xdr:row>
      <xdr:rowOff>167408</xdr:rowOff>
    </xdr:to>
    <xdr:sp macro="" textlink="">
      <xdr:nvSpPr>
        <xdr:cNvPr id="12" name="AutoShape 138">
          <a:extLst>
            <a:ext uri="{FF2B5EF4-FFF2-40B4-BE49-F238E27FC236}">
              <a16:creationId xmlns:a16="http://schemas.microsoft.com/office/drawing/2014/main" id="{00000000-0008-0000-0100-00000C000000}"/>
            </a:ext>
          </a:extLst>
        </xdr:cNvPr>
        <xdr:cNvSpPr>
          <a:spLocks/>
        </xdr:cNvSpPr>
      </xdr:nvSpPr>
      <xdr:spPr bwMode="auto">
        <a:xfrm>
          <a:off x="9256223" y="10612582"/>
          <a:ext cx="196042" cy="1807786"/>
        </a:xfrm>
        <a:prstGeom prst="rightBrace">
          <a:avLst>
            <a:gd name="adj1" fmla="val 47315"/>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17318</xdr:colOff>
      <xdr:row>50</xdr:row>
      <xdr:rowOff>0</xdr:rowOff>
    </xdr:from>
    <xdr:to>
      <xdr:col>15</xdr:col>
      <xdr:colOff>169718</xdr:colOff>
      <xdr:row>52</xdr:row>
      <xdr:rowOff>242742</xdr:rowOff>
    </xdr:to>
    <xdr:sp macro="" textlink="">
      <xdr:nvSpPr>
        <xdr:cNvPr id="13" name="AutoShape 138">
          <a:extLst>
            <a:ext uri="{FF2B5EF4-FFF2-40B4-BE49-F238E27FC236}">
              <a16:creationId xmlns:a16="http://schemas.microsoft.com/office/drawing/2014/main" id="{00000000-0008-0000-0100-00000D000000}"/>
            </a:ext>
          </a:extLst>
        </xdr:cNvPr>
        <xdr:cNvSpPr>
          <a:spLocks/>
        </xdr:cNvSpPr>
      </xdr:nvSpPr>
      <xdr:spPr bwMode="auto">
        <a:xfrm>
          <a:off x="9275618" y="12420600"/>
          <a:ext cx="152400" cy="760902"/>
        </a:xfrm>
        <a:prstGeom prst="rightBrace">
          <a:avLst>
            <a:gd name="adj1" fmla="val 47402"/>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22514</xdr:colOff>
      <xdr:row>53</xdr:row>
      <xdr:rowOff>13854</xdr:rowOff>
    </xdr:from>
    <xdr:to>
      <xdr:col>15</xdr:col>
      <xdr:colOff>174914</xdr:colOff>
      <xdr:row>54</xdr:row>
      <xdr:rowOff>256596</xdr:rowOff>
    </xdr:to>
    <xdr:sp macro="" textlink="">
      <xdr:nvSpPr>
        <xdr:cNvPr id="14" name="AutoShape 138">
          <a:extLst>
            <a:ext uri="{FF2B5EF4-FFF2-40B4-BE49-F238E27FC236}">
              <a16:creationId xmlns:a16="http://schemas.microsoft.com/office/drawing/2014/main" id="{00000000-0008-0000-0100-00000E000000}"/>
            </a:ext>
          </a:extLst>
        </xdr:cNvPr>
        <xdr:cNvSpPr>
          <a:spLocks/>
        </xdr:cNvSpPr>
      </xdr:nvSpPr>
      <xdr:spPr bwMode="auto">
        <a:xfrm>
          <a:off x="9280814" y="13197840"/>
          <a:ext cx="152400" cy="0"/>
        </a:xfrm>
        <a:prstGeom prst="rightBrace">
          <a:avLst>
            <a:gd name="adj1" fmla="val 47402"/>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15599</xdr:colOff>
      <xdr:row>3</xdr:row>
      <xdr:rowOff>99944</xdr:rowOff>
    </xdr:from>
    <xdr:to>
      <xdr:col>3</xdr:col>
      <xdr:colOff>267599</xdr:colOff>
      <xdr:row>4</xdr:row>
      <xdr:rowOff>56422</xdr:rowOff>
    </xdr:to>
    <xdr:grpSp>
      <xdr:nvGrpSpPr>
        <xdr:cNvPr id="15" name="Group 11">
          <a:extLst>
            <a:ext uri="{FF2B5EF4-FFF2-40B4-BE49-F238E27FC236}">
              <a16:creationId xmlns:a16="http://schemas.microsoft.com/office/drawing/2014/main" id="{00000000-0008-0000-0100-00000F000000}"/>
            </a:ext>
          </a:extLst>
        </xdr:cNvPr>
        <xdr:cNvGrpSpPr>
          <a:grpSpLocks/>
        </xdr:cNvGrpSpPr>
      </xdr:nvGrpSpPr>
      <xdr:grpSpPr bwMode="auto">
        <a:xfrm>
          <a:off x="417381" y="792671"/>
          <a:ext cx="252000" cy="219715"/>
          <a:chOff x="132" y="487"/>
          <a:chExt cx="29" cy="24"/>
        </a:xfrm>
      </xdr:grpSpPr>
      <xdr:sp macro="" textlink="">
        <xdr:nvSpPr>
          <xdr:cNvPr id="16" name="Oval 9">
            <a:extLst>
              <a:ext uri="{FF2B5EF4-FFF2-40B4-BE49-F238E27FC236}">
                <a16:creationId xmlns:a16="http://schemas.microsoft.com/office/drawing/2014/main" id="{00000000-0008-0000-0100-000010000000}"/>
              </a:ext>
            </a:extLst>
          </xdr:cNvPr>
          <xdr:cNvSpPr>
            <a:spLocks noChangeArrowheads="1"/>
          </xdr:cNvSpPr>
        </xdr:nvSpPr>
        <xdr:spPr bwMode="auto">
          <a:xfrm>
            <a:off x="135" y="487"/>
            <a:ext cx="24" cy="24"/>
          </a:xfrm>
          <a:prstGeom prst="ellipse">
            <a:avLst/>
          </a:prstGeom>
          <a:solidFill>
            <a:srgbClr val="000000"/>
          </a:solidFill>
          <a:ln w="9525">
            <a:solidFill>
              <a:srgbClr val="000000"/>
            </a:solidFill>
            <a:round/>
            <a:headEnd/>
            <a:tailEnd/>
          </a:ln>
        </xdr:spPr>
      </xdr:sp>
      <xdr:sp macro="" textlink="">
        <xdr:nvSpPr>
          <xdr:cNvPr id="17" name="Text Box 10">
            <a:extLst>
              <a:ext uri="{FF2B5EF4-FFF2-40B4-BE49-F238E27FC236}">
                <a16:creationId xmlns:a16="http://schemas.microsoft.com/office/drawing/2014/main" id="{00000000-0008-0000-0100-000011000000}"/>
              </a:ext>
            </a:extLst>
          </xdr:cNvPr>
          <xdr:cNvSpPr txBox="1">
            <a:spLocks noChangeArrowheads="1"/>
          </xdr:cNvSpPr>
        </xdr:nvSpPr>
        <xdr:spPr bwMode="auto">
          <a:xfrm>
            <a:off x="132" y="487"/>
            <a:ext cx="29" cy="23"/>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Ｐゴシック"/>
                <a:ea typeface="ＭＳ Ｐゴシック"/>
              </a:rPr>
              <a:t>1</a:t>
            </a:r>
          </a:p>
        </xdr:txBody>
      </xdr:sp>
    </xdr:grpSp>
    <xdr:clientData/>
  </xdr:twoCellAnchor>
  <xdr:oneCellAnchor>
    <xdr:from>
      <xdr:col>3</xdr:col>
      <xdr:colOff>278534</xdr:colOff>
      <xdr:row>2</xdr:row>
      <xdr:rowOff>126425</xdr:rowOff>
    </xdr:from>
    <xdr:ext cx="877163" cy="473463"/>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667154" y="644585"/>
          <a:ext cx="877163"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800" b="1">
              <a:latin typeface="Meiryo UI" panose="020B0604030504040204" pitchFamily="50" charset="-128"/>
              <a:ea typeface="Meiryo UI" panose="020B0604030504040204" pitchFamily="50" charset="-128"/>
            </a:rPr>
            <a:t>医療分</a:t>
          </a:r>
          <a:endParaRPr kumimoji="1" lang="en-US" altLang="ja-JP" sz="1400" b="1">
            <a:latin typeface="Meiryo UI" panose="020B0604030504040204" pitchFamily="50" charset="-128"/>
            <a:ea typeface="Meiryo UI" panose="020B0604030504040204" pitchFamily="50" charset="-128"/>
          </a:endParaRPr>
        </a:p>
      </xdr:txBody>
    </xdr:sp>
    <xdr:clientData/>
  </xdr:oneCellAnchor>
  <xdr:oneCellAnchor>
    <xdr:from>
      <xdr:col>3</xdr:col>
      <xdr:colOff>247650</xdr:colOff>
      <xdr:row>21</xdr:row>
      <xdr:rowOff>0</xdr:rowOff>
    </xdr:from>
    <xdr:ext cx="1210588" cy="431144"/>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36270" y="5257800"/>
          <a:ext cx="1210588" cy="431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600" b="1">
              <a:latin typeface="Meiryo UI" panose="020B0604030504040204" pitchFamily="50" charset="-128"/>
              <a:ea typeface="Meiryo UI" panose="020B0604030504040204" pitchFamily="50" charset="-128"/>
            </a:rPr>
            <a:t>後期支援分</a:t>
          </a:r>
        </a:p>
      </xdr:txBody>
    </xdr:sp>
    <xdr:clientData/>
  </xdr:oneCellAnchor>
  <xdr:twoCellAnchor>
    <xdr:from>
      <xdr:col>3</xdr:col>
      <xdr:colOff>18084</xdr:colOff>
      <xdr:row>21</xdr:row>
      <xdr:rowOff>111815</xdr:rowOff>
    </xdr:from>
    <xdr:to>
      <xdr:col>3</xdr:col>
      <xdr:colOff>270084</xdr:colOff>
      <xdr:row>22</xdr:row>
      <xdr:rowOff>68293</xdr:rowOff>
    </xdr:to>
    <xdr:grpSp>
      <xdr:nvGrpSpPr>
        <xdr:cNvPr id="20" name="Group 18">
          <a:extLst>
            <a:ext uri="{FF2B5EF4-FFF2-40B4-BE49-F238E27FC236}">
              <a16:creationId xmlns:a16="http://schemas.microsoft.com/office/drawing/2014/main" id="{00000000-0008-0000-0100-000014000000}"/>
            </a:ext>
          </a:extLst>
        </xdr:cNvPr>
        <xdr:cNvGrpSpPr>
          <a:grpSpLocks/>
        </xdr:cNvGrpSpPr>
      </xdr:nvGrpSpPr>
      <xdr:grpSpPr bwMode="auto">
        <a:xfrm>
          <a:off x="419866" y="5404251"/>
          <a:ext cx="252000" cy="219715"/>
          <a:chOff x="247" y="493"/>
          <a:chExt cx="29" cy="24"/>
        </a:xfrm>
      </xdr:grpSpPr>
      <xdr:sp macro="" textlink="">
        <xdr:nvSpPr>
          <xdr:cNvPr id="21" name="Oval 13">
            <a:extLst>
              <a:ext uri="{FF2B5EF4-FFF2-40B4-BE49-F238E27FC236}">
                <a16:creationId xmlns:a16="http://schemas.microsoft.com/office/drawing/2014/main" id="{00000000-0008-0000-0100-000015000000}"/>
              </a:ext>
            </a:extLst>
          </xdr:cNvPr>
          <xdr:cNvSpPr>
            <a:spLocks noChangeArrowheads="1"/>
          </xdr:cNvSpPr>
        </xdr:nvSpPr>
        <xdr:spPr bwMode="auto">
          <a:xfrm>
            <a:off x="249" y="493"/>
            <a:ext cx="24" cy="24"/>
          </a:xfrm>
          <a:prstGeom prst="ellipse">
            <a:avLst/>
          </a:prstGeom>
          <a:solidFill>
            <a:srgbClr val="000000"/>
          </a:solidFill>
          <a:ln w="9525">
            <a:solidFill>
              <a:srgbClr val="000000"/>
            </a:solidFill>
            <a:round/>
            <a:headEnd/>
            <a:tailEnd/>
          </a:ln>
        </xdr:spPr>
      </xdr:sp>
      <xdr:sp macro="" textlink="">
        <xdr:nvSpPr>
          <xdr:cNvPr id="22" name="Text Box 14">
            <a:extLst>
              <a:ext uri="{FF2B5EF4-FFF2-40B4-BE49-F238E27FC236}">
                <a16:creationId xmlns:a16="http://schemas.microsoft.com/office/drawing/2014/main" id="{00000000-0008-0000-0100-000016000000}"/>
              </a:ext>
            </a:extLst>
          </xdr:cNvPr>
          <xdr:cNvSpPr txBox="1">
            <a:spLocks noChangeArrowheads="1"/>
          </xdr:cNvSpPr>
        </xdr:nvSpPr>
        <xdr:spPr bwMode="auto">
          <a:xfrm>
            <a:off x="247" y="493"/>
            <a:ext cx="29" cy="23"/>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Ｐゴシック"/>
                <a:ea typeface="ＭＳ Ｐゴシック"/>
              </a:rPr>
              <a:t>2</a:t>
            </a:r>
          </a:p>
        </xdr:txBody>
      </xdr:sp>
    </xdr:grpSp>
    <xdr:clientData/>
  </xdr:twoCellAnchor>
  <xdr:oneCellAnchor>
    <xdr:from>
      <xdr:col>3</xdr:col>
      <xdr:colOff>255155</xdr:colOff>
      <xdr:row>38</xdr:row>
      <xdr:rowOff>69273</xdr:rowOff>
    </xdr:from>
    <xdr:ext cx="877163" cy="473463"/>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656937" y="9781309"/>
          <a:ext cx="877163"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800" b="1">
              <a:latin typeface="Meiryo UI" panose="020B0604030504040204" pitchFamily="50" charset="-128"/>
              <a:ea typeface="Meiryo UI" panose="020B0604030504040204" pitchFamily="50" charset="-128"/>
            </a:rPr>
            <a:t>介護分</a:t>
          </a:r>
          <a:endParaRPr kumimoji="1" lang="ja-JP" altLang="en-US" sz="1600" b="1">
            <a:latin typeface="Meiryo UI" panose="020B0604030504040204" pitchFamily="50" charset="-128"/>
            <a:ea typeface="Meiryo UI" panose="020B0604030504040204" pitchFamily="50" charset="-128"/>
          </a:endParaRPr>
        </a:p>
      </xdr:txBody>
    </xdr:sp>
    <xdr:clientData/>
  </xdr:oneCellAnchor>
  <xdr:twoCellAnchor>
    <xdr:from>
      <xdr:col>3</xdr:col>
      <xdr:colOff>7793</xdr:colOff>
      <xdr:row>39</xdr:row>
      <xdr:rowOff>60588</xdr:rowOff>
    </xdr:from>
    <xdr:to>
      <xdr:col>3</xdr:col>
      <xdr:colOff>259793</xdr:colOff>
      <xdr:row>39</xdr:row>
      <xdr:rowOff>276588</xdr:rowOff>
    </xdr:to>
    <xdr:grpSp>
      <xdr:nvGrpSpPr>
        <xdr:cNvPr id="24" name="Group 18">
          <a:extLst>
            <a:ext uri="{FF2B5EF4-FFF2-40B4-BE49-F238E27FC236}">
              <a16:creationId xmlns:a16="http://schemas.microsoft.com/office/drawing/2014/main" id="{00000000-0008-0000-0100-000018000000}"/>
            </a:ext>
          </a:extLst>
        </xdr:cNvPr>
        <xdr:cNvGrpSpPr>
          <a:grpSpLocks/>
        </xdr:cNvGrpSpPr>
      </xdr:nvGrpSpPr>
      <xdr:grpSpPr bwMode="auto">
        <a:xfrm>
          <a:off x="409575" y="9911170"/>
          <a:ext cx="252000" cy="216000"/>
          <a:chOff x="247" y="493"/>
          <a:chExt cx="29" cy="24"/>
        </a:xfrm>
      </xdr:grpSpPr>
      <xdr:sp macro="" textlink="">
        <xdr:nvSpPr>
          <xdr:cNvPr id="25" name="Oval 13">
            <a:extLst>
              <a:ext uri="{FF2B5EF4-FFF2-40B4-BE49-F238E27FC236}">
                <a16:creationId xmlns:a16="http://schemas.microsoft.com/office/drawing/2014/main" id="{00000000-0008-0000-0100-000019000000}"/>
              </a:ext>
            </a:extLst>
          </xdr:cNvPr>
          <xdr:cNvSpPr>
            <a:spLocks noChangeArrowheads="1"/>
          </xdr:cNvSpPr>
        </xdr:nvSpPr>
        <xdr:spPr bwMode="auto">
          <a:xfrm>
            <a:off x="249" y="493"/>
            <a:ext cx="24" cy="24"/>
          </a:xfrm>
          <a:prstGeom prst="ellipse">
            <a:avLst/>
          </a:prstGeom>
          <a:solidFill>
            <a:srgbClr val="000000"/>
          </a:solidFill>
          <a:ln w="9525">
            <a:solidFill>
              <a:srgbClr val="000000"/>
            </a:solidFill>
            <a:round/>
            <a:headEnd/>
            <a:tailEnd/>
          </a:ln>
        </xdr:spPr>
      </xdr:sp>
      <xdr:sp macro="" textlink="">
        <xdr:nvSpPr>
          <xdr:cNvPr id="26" name="Text Box 14">
            <a:extLst>
              <a:ext uri="{FF2B5EF4-FFF2-40B4-BE49-F238E27FC236}">
                <a16:creationId xmlns:a16="http://schemas.microsoft.com/office/drawing/2014/main" id="{00000000-0008-0000-0100-00001A000000}"/>
              </a:ext>
            </a:extLst>
          </xdr:cNvPr>
          <xdr:cNvSpPr txBox="1">
            <a:spLocks noChangeArrowheads="1"/>
          </xdr:cNvSpPr>
        </xdr:nvSpPr>
        <xdr:spPr bwMode="auto">
          <a:xfrm>
            <a:off x="247" y="493"/>
            <a:ext cx="29" cy="23"/>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Ｐゴシック"/>
                <a:ea typeface="ＭＳ Ｐゴシック"/>
              </a:rPr>
              <a:t>3</a:t>
            </a:r>
          </a:p>
        </xdr:txBody>
      </xdr:sp>
    </xdr:grpSp>
    <xdr:clientData/>
  </xdr:twoCellAnchor>
  <xdr:twoCellAnchor editAs="oneCell">
    <xdr:from>
      <xdr:col>4</xdr:col>
      <xdr:colOff>216477</xdr:colOff>
      <xdr:row>39</xdr:row>
      <xdr:rowOff>0</xdr:rowOff>
    </xdr:from>
    <xdr:to>
      <xdr:col>9</xdr:col>
      <xdr:colOff>244929</xdr:colOff>
      <xdr:row>40</xdr:row>
      <xdr:rowOff>64633</xdr:rowOff>
    </xdr:to>
    <xdr:sp macro="" textlink="">
      <xdr:nvSpPr>
        <xdr:cNvPr id="27" name="テキスト ボックス 52">
          <a:extLst>
            <a:ext uri="{FF2B5EF4-FFF2-40B4-BE49-F238E27FC236}">
              <a16:creationId xmlns:a16="http://schemas.microsoft.com/office/drawing/2014/main" id="{00000000-0008-0000-0100-00001B000000}"/>
            </a:ext>
          </a:extLst>
        </xdr:cNvPr>
        <xdr:cNvSpPr txBox="1">
          <a:spLocks noChangeArrowheads="1"/>
        </xdr:cNvSpPr>
      </xdr:nvSpPr>
      <xdr:spPr bwMode="auto">
        <a:xfrm>
          <a:off x="1374717" y="9791700"/>
          <a:ext cx="3815592" cy="34657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400" b="0" i="0" strike="noStrike">
              <a:solidFill>
                <a:srgbClr val="000000"/>
              </a:solidFill>
              <a:latin typeface="Meiryo UI" panose="020B0604030504040204" pitchFamily="50" charset="-128"/>
              <a:ea typeface="Meiryo UI" panose="020B0604030504040204" pitchFamily="50" charset="-128"/>
            </a:rPr>
            <a:t>（</a:t>
          </a:r>
          <a:r>
            <a:rPr lang="en-US" altLang="ja-JP" sz="1400" b="0" i="0" strike="noStrike">
              <a:solidFill>
                <a:srgbClr val="000000"/>
              </a:solidFill>
              <a:latin typeface="Meiryo UI" panose="020B0604030504040204" pitchFamily="50" charset="-128"/>
              <a:ea typeface="Meiryo UI" panose="020B0604030504040204" pitchFamily="50" charset="-128"/>
            </a:rPr>
            <a:t>40</a:t>
          </a:r>
          <a:r>
            <a:rPr lang="ja-JP" altLang="en-US" sz="1400" b="0" i="0" strike="noStrike">
              <a:solidFill>
                <a:srgbClr val="000000"/>
              </a:solidFill>
              <a:latin typeface="Meiryo UI" panose="020B0604030504040204" pitchFamily="50" charset="-128"/>
              <a:ea typeface="Meiryo UI" panose="020B0604030504040204" pitchFamily="50" charset="-128"/>
            </a:rPr>
            <a:t>歳から</a:t>
          </a:r>
          <a:r>
            <a:rPr lang="en-US" altLang="ja-JP" sz="1400" b="0" i="0" strike="noStrike">
              <a:solidFill>
                <a:srgbClr val="000000"/>
              </a:solidFill>
              <a:latin typeface="Meiryo UI" panose="020B0604030504040204" pitchFamily="50" charset="-128"/>
              <a:ea typeface="Meiryo UI" panose="020B0604030504040204" pitchFamily="50" charset="-128"/>
            </a:rPr>
            <a:t>64</a:t>
          </a:r>
          <a:r>
            <a:rPr lang="ja-JP" altLang="en-US" sz="1400" b="0" i="0" strike="noStrike">
              <a:solidFill>
                <a:srgbClr val="000000"/>
              </a:solidFill>
              <a:latin typeface="Meiryo UI" panose="020B0604030504040204" pitchFamily="50" charset="-128"/>
              <a:ea typeface="Meiryo UI" panose="020B0604030504040204" pitchFamily="50" charset="-128"/>
            </a:rPr>
            <a:t>歳までの被保険者が対象）</a:t>
          </a:r>
          <a:endParaRPr lang="en-US" altLang="ja-JP" sz="1400" b="0" i="0" strike="noStrike">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17319</xdr:colOff>
      <xdr:row>60</xdr:row>
      <xdr:rowOff>138547</xdr:rowOff>
    </xdr:from>
    <xdr:to>
      <xdr:col>10</xdr:col>
      <xdr:colOff>284019</xdr:colOff>
      <xdr:row>67</xdr:row>
      <xdr:rowOff>170873</xdr:rowOff>
    </xdr:to>
    <xdr:sp macro="" textlink="">
      <xdr:nvSpPr>
        <xdr:cNvPr id="28" name="AutoShape 138">
          <a:extLst>
            <a:ext uri="{FF2B5EF4-FFF2-40B4-BE49-F238E27FC236}">
              <a16:creationId xmlns:a16="http://schemas.microsoft.com/office/drawing/2014/main" id="{00000000-0008-0000-0100-00001C000000}"/>
            </a:ext>
          </a:extLst>
        </xdr:cNvPr>
        <xdr:cNvSpPr>
          <a:spLocks/>
        </xdr:cNvSpPr>
      </xdr:nvSpPr>
      <xdr:spPr bwMode="auto">
        <a:xfrm>
          <a:off x="6189519" y="14662267"/>
          <a:ext cx="266700" cy="1807786"/>
        </a:xfrm>
        <a:prstGeom prst="rightBrace">
          <a:avLst>
            <a:gd name="adj1" fmla="val 47315"/>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135083</xdr:colOff>
      <xdr:row>60</xdr:row>
      <xdr:rowOff>135082</xdr:rowOff>
    </xdr:from>
    <xdr:to>
      <xdr:col>15</xdr:col>
      <xdr:colOff>193965</xdr:colOff>
      <xdr:row>67</xdr:row>
      <xdr:rowOff>167408</xdr:rowOff>
    </xdr:to>
    <xdr:sp macro="" textlink="">
      <xdr:nvSpPr>
        <xdr:cNvPr id="29" name="AutoShape 138">
          <a:extLst>
            <a:ext uri="{FF2B5EF4-FFF2-40B4-BE49-F238E27FC236}">
              <a16:creationId xmlns:a16="http://schemas.microsoft.com/office/drawing/2014/main" id="{00000000-0008-0000-0100-00001D000000}"/>
            </a:ext>
          </a:extLst>
        </xdr:cNvPr>
        <xdr:cNvSpPr>
          <a:spLocks/>
        </xdr:cNvSpPr>
      </xdr:nvSpPr>
      <xdr:spPr bwMode="auto">
        <a:xfrm>
          <a:off x="9256223" y="14658802"/>
          <a:ext cx="196042" cy="1807786"/>
        </a:xfrm>
        <a:prstGeom prst="rightBrace">
          <a:avLst>
            <a:gd name="adj1" fmla="val 47315"/>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17318</xdr:colOff>
      <xdr:row>68</xdr:row>
      <xdr:rowOff>0</xdr:rowOff>
    </xdr:from>
    <xdr:to>
      <xdr:col>15</xdr:col>
      <xdr:colOff>169718</xdr:colOff>
      <xdr:row>70</xdr:row>
      <xdr:rowOff>0</xdr:rowOff>
    </xdr:to>
    <xdr:sp macro="" textlink="">
      <xdr:nvSpPr>
        <xdr:cNvPr id="30" name="AutoShape 138">
          <a:extLst>
            <a:ext uri="{FF2B5EF4-FFF2-40B4-BE49-F238E27FC236}">
              <a16:creationId xmlns:a16="http://schemas.microsoft.com/office/drawing/2014/main" id="{00000000-0008-0000-0100-00001E000000}"/>
            </a:ext>
          </a:extLst>
        </xdr:cNvPr>
        <xdr:cNvSpPr>
          <a:spLocks/>
        </xdr:cNvSpPr>
      </xdr:nvSpPr>
      <xdr:spPr bwMode="auto">
        <a:xfrm>
          <a:off x="9275618" y="16466820"/>
          <a:ext cx="152400" cy="518160"/>
        </a:xfrm>
        <a:prstGeom prst="rightBrace">
          <a:avLst>
            <a:gd name="adj1" fmla="val 47402"/>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22514</xdr:colOff>
      <xdr:row>70</xdr:row>
      <xdr:rowOff>13854</xdr:rowOff>
    </xdr:from>
    <xdr:to>
      <xdr:col>15</xdr:col>
      <xdr:colOff>174914</xdr:colOff>
      <xdr:row>71</xdr:row>
      <xdr:rowOff>256596</xdr:rowOff>
    </xdr:to>
    <xdr:sp macro="" textlink="">
      <xdr:nvSpPr>
        <xdr:cNvPr id="31" name="AutoShape 138">
          <a:extLst>
            <a:ext uri="{FF2B5EF4-FFF2-40B4-BE49-F238E27FC236}">
              <a16:creationId xmlns:a16="http://schemas.microsoft.com/office/drawing/2014/main" id="{00000000-0008-0000-0100-00001F000000}"/>
            </a:ext>
          </a:extLst>
        </xdr:cNvPr>
        <xdr:cNvSpPr>
          <a:spLocks/>
        </xdr:cNvSpPr>
      </xdr:nvSpPr>
      <xdr:spPr bwMode="auto">
        <a:xfrm>
          <a:off x="9280814" y="16998834"/>
          <a:ext cx="152400" cy="501822"/>
        </a:xfrm>
        <a:prstGeom prst="rightBrace">
          <a:avLst>
            <a:gd name="adj1" fmla="val 47402"/>
            <a:gd name="adj2" fmla="val 50000"/>
          </a:avLst>
        </a:prstGeom>
        <a:noFill/>
        <a:ln w="952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xdr:col>
      <xdr:colOff>269009</xdr:colOff>
      <xdr:row>56</xdr:row>
      <xdr:rowOff>92480</xdr:rowOff>
    </xdr:from>
    <xdr:ext cx="1320618" cy="431144"/>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70791" y="13850044"/>
          <a:ext cx="1320618" cy="431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600" b="1">
              <a:latin typeface="Meiryo UI" panose="020B0604030504040204" pitchFamily="50" charset="-128"/>
              <a:ea typeface="Meiryo UI" panose="020B0604030504040204" pitchFamily="50" charset="-128"/>
            </a:rPr>
            <a:t>子ども支援分</a:t>
          </a:r>
        </a:p>
      </xdr:txBody>
    </xdr:sp>
    <xdr:clientData/>
  </xdr:oneCellAnchor>
  <xdr:twoCellAnchor>
    <xdr:from>
      <xdr:col>3</xdr:col>
      <xdr:colOff>26987</xdr:colOff>
      <xdr:row>57</xdr:row>
      <xdr:rowOff>75853</xdr:rowOff>
    </xdr:from>
    <xdr:to>
      <xdr:col>3</xdr:col>
      <xdr:colOff>278987</xdr:colOff>
      <xdr:row>58</xdr:row>
      <xdr:rowOff>10244</xdr:rowOff>
    </xdr:to>
    <xdr:grpSp>
      <xdr:nvGrpSpPr>
        <xdr:cNvPr id="33" name="Group 18">
          <a:extLst>
            <a:ext uri="{FF2B5EF4-FFF2-40B4-BE49-F238E27FC236}">
              <a16:creationId xmlns:a16="http://schemas.microsoft.com/office/drawing/2014/main" id="{00000000-0008-0000-0100-000021000000}"/>
            </a:ext>
          </a:extLst>
        </xdr:cNvPr>
        <xdr:cNvGrpSpPr>
          <a:grpSpLocks/>
        </xdr:cNvGrpSpPr>
      </xdr:nvGrpSpPr>
      <xdr:grpSpPr bwMode="auto">
        <a:xfrm>
          <a:off x="428769" y="13958108"/>
          <a:ext cx="252000" cy="211481"/>
          <a:chOff x="246" y="493"/>
          <a:chExt cx="29" cy="24"/>
        </a:xfrm>
      </xdr:grpSpPr>
      <xdr:sp macro="" textlink="">
        <xdr:nvSpPr>
          <xdr:cNvPr id="34" name="Oval 13">
            <a:extLst>
              <a:ext uri="{FF2B5EF4-FFF2-40B4-BE49-F238E27FC236}">
                <a16:creationId xmlns:a16="http://schemas.microsoft.com/office/drawing/2014/main" id="{00000000-0008-0000-0100-000022000000}"/>
              </a:ext>
            </a:extLst>
          </xdr:cNvPr>
          <xdr:cNvSpPr>
            <a:spLocks noChangeArrowheads="1"/>
          </xdr:cNvSpPr>
        </xdr:nvSpPr>
        <xdr:spPr bwMode="auto">
          <a:xfrm>
            <a:off x="249" y="493"/>
            <a:ext cx="24" cy="24"/>
          </a:xfrm>
          <a:prstGeom prst="ellipse">
            <a:avLst/>
          </a:prstGeom>
          <a:solidFill>
            <a:srgbClr val="000000"/>
          </a:solidFill>
          <a:ln w="9525">
            <a:solidFill>
              <a:srgbClr val="000000"/>
            </a:solidFill>
            <a:round/>
            <a:headEnd/>
            <a:tailEnd/>
          </a:ln>
        </xdr:spPr>
      </xdr:sp>
      <xdr:sp macro="" textlink="">
        <xdr:nvSpPr>
          <xdr:cNvPr id="35" name="Text Box 14">
            <a:extLst>
              <a:ext uri="{FF2B5EF4-FFF2-40B4-BE49-F238E27FC236}">
                <a16:creationId xmlns:a16="http://schemas.microsoft.com/office/drawing/2014/main" id="{00000000-0008-0000-0100-000023000000}"/>
              </a:ext>
            </a:extLst>
          </xdr:cNvPr>
          <xdr:cNvSpPr txBox="1">
            <a:spLocks noChangeArrowheads="1"/>
          </xdr:cNvSpPr>
        </xdr:nvSpPr>
        <xdr:spPr bwMode="auto">
          <a:xfrm>
            <a:off x="246" y="493"/>
            <a:ext cx="29" cy="23"/>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Ｐゴシック"/>
                <a:ea typeface="ＭＳ Ｐゴシック"/>
              </a:rPr>
              <a:t>4</a:t>
            </a:r>
          </a:p>
        </xdr:txBody>
      </xdr:sp>
    </xdr:grpSp>
    <xdr:clientData/>
  </xdr:twoCellAnchor>
  <xdr:oneCellAnchor>
    <xdr:from>
      <xdr:col>5</xdr:col>
      <xdr:colOff>105635</xdr:colOff>
      <xdr:row>57</xdr:row>
      <xdr:rowOff>3898</xdr:rowOff>
    </xdr:from>
    <xdr:ext cx="6156619" cy="342466"/>
    <xdr:sp macro="" textlink="">
      <xdr:nvSpPr>
        <xdr:cNvPr id="36" name="テキスト ボックス 52">
          <a:extLst>
            <a:ext uri="{FF2B5EF4-FFF2-40B4-BE49-F238E27FC236}">
              <a16:creationId xmlns:a16="http://schemas.microsoft.com/office/drawing/2014/main" id="{00000000-0008-0000-0100-000024000000}"/>
            </a:ext>
          </a:extLst>
        </xdr:cNvPr>
        <xdr:cNvSpPr txBox="1">
          <a:spLocks noChangeArrowheads="1"/>
        </xdr:cNvSpPr>
      </xdr:nvSpPr>
      <xdr:spPr bwMode="auto">
        <a:xfrm>
          <a:off x="2117315" y="13864678"/>
          <a:ext cx="6156619" cy="34246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400" b="0" i="0" strike="noStrike">
              <a:solidFill>
                <a:srgbClr val="000000"/>
              </a:solidFill>
              <a:latin typeface="Meiryo UI" panose="020B0604030504040204" pitchFamily="50" charset="-128"/>
              <a:ea typeface="Meiryo UI" panose="020B0604030504040204" pitchFamily="50" charset="-128"/>
            </a:rPr>
            <a:t>（</a:t>
          </a:r>
          <a:r>
            <a:rPr lang="en-US" altLang="ja-JP" sz="1400" b="1" i="0" strike="noStrike">
              <a:solidFill>
                <a:srgbClr val="000000"/>
              </a:solidFill>
              <a:latin typeface="BIZ UDゴシック" panose="020B0400000000000000" pitchFamily="49" charset="-128"/>
              <a:ea typeface="BIZ UDゴシック" panose="020B0400000000000000" pitchFamily="49" charset="-128"/>
            </a:rPr>
            <a:t>18</a:t>
          </a:r>
          <a:r>
            <a:rPr lang="ja-JP" altLang="en-US" sz="1400" b="1" i="0" strike="noStrike">
              <a:solidFill>
                <a:srgbClr val="000000"/>
              </a:solidFill>
              <a:latin typeface="BIZ UDゴシック" panose="020B0400000000000000" pitchFamily="49" charset="-128"/>
              <a:ea typeface="BIZ UDゴシック" panose="020B0400000000000000" pitchFamily="49" charset="-128"/>
            </a:rPr>
            <a:t>歳未満の被保険者のみ</a:t>
          </a:r>
          <a:r>
            <a:rPr lang="ja-JP" altLang="en-US" sz="1400" b="0" i="0" strike="noStrike">
              <a:solidFill>
                <a:srgbClr val="000000"/>
              </a:solidFill>
              <a:latin typeface="Meiryo UI" panose="020B0604030504040204" pitchFamily="50" charset="-128"/>
              <a:ea typeface="Meiryo UI" panose="020B0604030504040204" pitchFamily="50" charset="-128"/>
            </a:rPr>
            <a:t>子ども支援分の</a:t>
          </a:r>
          <a:r>
            <a:rPr lang="ja-JP" altLang="en-US" sz="1400" b="1" i="0" strike="noStrike">
              <a:solidFill>
                <a:srgbClr val="000000"/>
              </a:solidFill>
              <a:latin typeface="BIZ UDゴシック" panose="020B0400000000000000" pitchFamily="49" charset="-128"/>
              <a:ea typeface="BIZ UDゴシック" panose="020B0400000000000000" pitchFamily="49" charset="-128"/>
            </a:rPr>
            <a:t>均等割額が全額免除</a:t>
          </a:r>
          <a:r>
            <a:rPr lang="ja-JP" altLang="en-US" sz="1400" b="0" i="0" strike="noStrike">
              <a:solidFill>
                <a:srgbClr val="000000"/>
              </a:solidFill>
              <a:latin typeface="Meiryo UI" panose="020B0604030504040204" pitchFamily="50" charset="-128"/>
              <a:ea typeface="Meiryo UI" panose="020B0604030504040204" pitchFamily="50" charset="-128"/>
            </a:rPr>
            <a:t>となります。）</a:t>
          </a:r>
          <a:endParaRPr lang="en-US" altLang="ja-JP" sz="1400" b="0" i="0" strike="noStrike">
            <a:solidFill>
              <a:srgbClr val="000000"/>
            </a:solidFill>
            <a:latin typeface="Meiryo UI" panose="020B0604030504040204" pitchFamily="50" charset="-128"/>
            <a:ea typeface="Meiryo UI" panose="020B0604030504040204" pitchFamily="50" charset="-128"/>
          </a:endParaRPr>
        </a:p>
      </xdr:txBody>
    </xdr:sp>
    <xdr:clientData/>
  </xdr:oneCellAnchor>
  <xdr:twoCellAnchor editAs="oneCell">
    <xdr:from>
      <xdr:col>12</xdr:col>
      <xdr:colOff>0</xdr:colOff>
      <xdr:row>9</xdr:row>
      <xdr:rowOff>138545</xdr:rowOff>
    </xdr:from>
    <xdr:to>
      <xdr:col>13</xdr:col>
      <xdr:colOff>121227</xdr:colOff>
      <xdr:row>10</xdr:row>
      <xdr:rowOff>146165</xdr:rowOff>
    </xdr:to>
    <xdr:pic>
      <xdr:nvPicPr>
        <xdr:cNvPr id="37" name="図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3820" y="2295005"/>
          <a:ext cx="395547"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1177636</xdr:colOff>
      <xdr:row>27</xdr:row>
      <xdr:rowOff>152399</xdr:rowOff>
    </xdr:from>
    <xdr:to>
      <xdr:col>13</xdr:col>
      <xdr:colOff>107372</xdr:colOff>
      <xdr:row>28</xdr:row>
      <xdr:rowOff>160020</xdr:rowOff>
    </xdr:to>
    <xdr:pic>
      <xdr:nvPicPr>
        <xdr:cNvPr id="38" name="図 37">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2736" y="6842759"/>
          <a:ext cx="392776" cy="266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45</xdr:row>
      <xdr:rowOff>152399</xdr:rowOff>
    </xdr:from>
    <xdr:to>
      <xdr:col>13</xdr:col>
      <xdr:colOff>121227</xdr:colOff>
      <xdr:row>46</xdr:row>
      <xdr:rowOff>160020</xdr:rowOff>
    </xdr:to>
    <xdr:pic>
      <xdr:nvPicPr>
        <xdr:cNvPr id="39" name="図 38">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3820" y="11407139"/>
          <a:ext cx="395547" cy="266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1177636</xdr:colOff>
      <xdr:row>63</xdr:row>
      <xdr:rowOff>152399</xdr:rowOff>
    </xdr:from>
    <xdr:to>
      <xdr:col>13</xdr:col>
      <xdr:colOff>107372</xdr:colOff>
      <xdr:row>64</xdr:row>
      <xdr:rowOff>160020</xdr:rowOff>
    </xdr:to>
    <xdr:pic>
      <xdr:nvPicPr>
        <xdr:cNvPr id="40" name="図 39">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2736" y="15453359"/>
          <a:ext cx="392776" cy="266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25278</xdr:colOff>
      <xdr:row>3</xdr:row>
      <xdr:rowOff>120971</xdr:rowOff>
    </xdr:from>
    <xdr:ext cx="6915849" cy="336230"/>
    <xdr:sp macro="" textlink="">
      <xdr:nvSpPr>
        <xdr:cNvPr id="41" name="テキスト ボックス 52">
          <a:extLst>
            <a:ext uri="{FF2B5EF4-FFF2-40B4-BE49-F238E27FC236}">
              <a16:creationId xmlns:a16="http://schemas.microsoft.com/office/drawing/2014/main" id="{00000000-0008-0000-0100-000029000000}"/>
            </a:ext>
          </a:extLst>
        </xdr:cNvPr>
        <xdr:cNvSpPr txBox="1">
          <a:spLocks noChangeArrowheads="1"/>
        </xdr:cNvSpPr>
      </xdr:nvSpPr>
      <xdr:spPr bwMode="auto">
        <a:xfrm>
          <a:off x="3572042" y="813698"/>
          <a:ext cx="6915849" cy="33623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400" b="0" i="0" strike="noStrike">
              <a:solidFill>
                <a:srgbClr val="000000"/>
              </a:solidFill>
              <a:latin typeface="Meiryo UI" panose="020B0604030504040204" pitchFamily="50" charset="-128"/>
              <a:ea typeface="Meiryo UI" panose="020B0604030504040204" pitchFamily="50" charset="-128"/>
            </a:rPr>
            <a:t>※</a:t>
          </a:r>
          <a:r>
            <a:rPr lang="ja-JP" altLang="en-US" sz="1400" b="0" i="0" strike="noStrike">
              <a:solidFill>
                <a:srgbClr val="000000"/>
              </a:solidFill>
              <a:latin typeface="Meiryo UI" panose="020B0604030504040204" pitchFamily="50" charset="-128"/>
              <a:ea typeface="Meiryo UI" panose="020B0604030504040204" pitchFamily="50" charset="-128"/>
            </a:rPr>
            <a:t>総所得金額等が</a:t>
          </a:r>
          <a:r>
            <a:rPr lang="en-US" altLang="ja-JP" sz="1400" b="0" i="0" strike="noStrike">
              <a:solidFill>
                <a:srgbClr val="000000"/>
              </a:solidFill>
              <a:latin typeface="Meiryo UI" panose="020B0604030504040204" pitchFamily="50" charset="-128"/>
              <a:ea typeface="Meiryo UI" panose="020B0604030504040204" pitchFamily="50" charset="-128"/>
            </a:rPr>
            <a:t>43</a:t>
          </a:r>
          <a:r>
            <a:rPr lang="ja-JP" altLang="en-US" sz="1400" b="0" i="0" strike="noStrike">
              <a:solidFill>
                <a:srgbClr val="000000"/>
              </a:solidFill>
              <a:latin typeface="Meiryo UI" panose="020B0604030504040204" pitchFamily="50" charset="-128"/>
              <a:ea typeface="Meiryo UI" panose="020B0604030504040204" pitchFamily="50" charset="-128"/>
            </a:rPr>
            <a:t>万円未満の方は、基礎控除額が総所得金額等と同額になります。</a:t>
          </a:r>
          <a:endParaRPr lang="en-US" altLang="ja-JP" sz="1400" b="0" i="0" strike="noStrike">
            <a:solidFill>
              <a:srgbClr val="000000"/>
            </a:solidFill>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7</xdr:col>
      <xdr:colOff>599141</xdr:colOff>
      <xdr:row>10</xdr:row>
      <xdr:rowOff>5976</xdr:rowOff>
    </xdr:from>
    <xdr:to>
      <xdr:col>14</xdr:col>
      <xdr:colOff>2985</xdr:colOff>
      <xdr:row>13</xdr:row>
      <xdr:rowOff>27790</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2161" y="2650116"/>
          <a:ext cx="4577824" cy="654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106219</xdr:colOff>
      <xdr:row>2</xdr:row>
      <xdr:rowOff>209175</xdr:rowOff>
    </xdr:from>
    <xdr:to>
      <xdr:col>24</xdr:col>
      <xdr:colOff>258619</xdr:colOff>
      <xdr:row>43</xdr:row>
      <xdr:rowOff>202942</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138"/>
        <a:stretch/>
      </xdr:blipFill>
      <xdr:spPr bwMode="auto">
        <a:xfrm>
          <a:off x="106219" y="901902"/>
          <a:ext cx="16112836" cy="9650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25400</xdr:colOff>
      <xdr:row>0</xdr:row>
      <xdr:rowOff>31750</xdr:rowOff>
    </xdr:from>
    <xdr:to>
      <xdr:col>16</xdr:col>
      <xdr:colOff>0</xdr:colOff>
      <xdr:row>1</xdr:row>
      <xdr:rowOff>209550</xdr:rowOff>
    </xdr:to>
    <xdr:sp macro="" textlink="">
      <xdr:nvSpPr>
        <xdr:cNvPr id="2" name="Text Box 16">
          <a:extLst>
            <a:ext uri="{FF2B5EF4-FFF2-40B4-BE49-F238E27FC236}">
              <a16:creationId xmlns:a16="http://schemas.microsoft.com/office/drawing/2014/main" id="{00000000-0008-0000-0600-000002000000}"/>
            </a:ext>
          </a:extLst>
        </xdr:cNvPr>
        <xdr:cNvSpPr txBox="1">
          <a:spLocks noChangeArrowheads="1"/>
        </xdr:cNvSpPr>
      </xdr:nvSpPr>
      <xdr:spPr bwMode="auto">
        <a:xfrm>
          <a:off x="25400" y="31750"/>
          <a:ext cx="7922260" cy="406400"/>
        </a:xfrm>
        <a:prstGeom prst="rect">
          <a:avLst/>
        </a:prstGeom>
        <a:ln>
          <a:headEnd/>
          <a:tailEnd/>
        </a:ln>
      </xdr:spPr>
      <xdr:style>
        <a:lnRef idx="1">
          <a:schemeClr val="accent1"/>
        </a:lnRef>
        <a:fillRef idx="3">
          <a:schemeClr val="accent1"/>
        </a:fillRef>
        <a:effectRef idx="2">
          <a:schemeClr val="accent1"/>
        </a:effectRef>
        <a:fontRef idx="minor">
          <a:schemeClr val="lt1"/>
        </a:fontRef>
      </xdr:style>
      <xdr:txBody>
        <a:bodyPr vertOverflow="clip" wrap="square" lIns="45720" tIns="22860" rIns="45720" bIns="22860" anchor="ctr" upright="1"/>
        <a:lstStyle/>
        <a:p>
          <a:pPr algn="ctr" rtl="0">
            <a:defRPr sz="1000"/>
          </a:pPr>
          <a:r>
            <a:rPr lang="ja-JP" altLang="en-US" sz="2000" b="1" i="0" u="none" strike="noStrike" baseline="0">
              <a:solidFill>
                <a:srgbClr val="FFFFFF"/>
              </a:solidFill>
              <a:latin typeface="BIZ UDゴシック" panose="020B0400000000000000" pitchFamily="49" charset="-128"/>
              <a:ea typeface="BIZ UDゴシック" panose="020B0400000000000000" pitchFamily="49" charset="-128"/>
              <a:cs typeface="メイリオ"/>
            </a:rPr>
            <a:t>令和８年度　大野城市　国民健康保険税　課税の内訳表</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4C6EE-94F7-4579-83AF-24DF2F81410F}">
  <dimension ref="B1:AN64"/>
  <sheetViews>
    <sheetView showGridLines="0" tabSelected="1" view="pageBreakPreview" zoomScale="70" zoomScaleNormal="85" zoomScaleSheetLayoutView="70" workbookViewId="0">
      <selection activeCell="K20" sqref="K20"/>
    </sheetView>
  </sheetViews>
  <sheetFormatPr defaultColWidth="2.8984375" defaultRowHeight="12.6"/>
  <cols>
    <col min="1" max="1" width="2.09765625" style="1" customWidth="1"/>
    <col min="2" max="2" width="2.8984375" style="1" customWidth="1"/>
    <col min="3" max="4" width="2.69921875" style="1" customWidth="1"/>
    <col min="5" max="8" width="2.3984375" style="1" customWidth="1"/>
    <col min="9" max="9" width="3.3984375" style="1" customWidth="1"/>
    <col min="10" max="10" width="6.296875" style="1" customWidth="1"/>
    <col min="11" max="11" width="4.3984375" style="1" customWidth="1"/>
    <col min="12" max="12" width="3.3984375" style="1" customWidth="1"/>
    <col min="13" max="13" width="4.3984375" style="1" customWidth="1"/>
    <col min="14" max="14" width="3.3984375" style="1" customWidth="1"/>
    <col min="15" max="15" width="4.3984375" style="1" customWidth="1"/>
    <col min="16" max="16" width="3.3984375" style="1" customWidth="1"/>
    <col min="17" max="17" width="3.09765625" style="1" customWidth="1"/>
    <col min="18" max="19" width="2.69921875" style="1" customWidth="1"/>
    <col min="20" max="21" width="2" style="1" customWidth="1"/>
    <col min="22" max="26" width="2.69921875" style="1" customWidth="1"/>
    <col min="27" max="28" width="2.09765625" style="1" customWidth="1"/>
    <col min="29" max="34" width="2.69921875" style="1" customWidth="1"/>
    <col min="35" max="36" width="2.09765625" style="1" customWidth="1"/>
    <col min="37" max="38" width="2.69921875" style="1" customWidth="1"/>
    <col min="39" max="39" width="3.59765625" style="1" customWidth="1"/>
    <col min="40" max="40" width="2" style="1" customWidth="1"/>
    <col min="41" max="41" width="3.5" style="1" customWidth="1"/>
    <col min="42" max="16384" width="2.8984375" style="1"/>
  </cols>
  <sheetData>
    <row r="1" ht="16.95" customHeight="1"/>
    <row r="2" ht="16.95" customHeight="1"/>
    <row r="3" ht="28.95" customHeight="1"/>
    <row r="4" ht="18" customHeight="1"/>
    <row r="5" ht="13.05" customHeight="1"/>
    <row r="6" ht="13.05" customHeight="1"/>
    <row r="7" ht="13.05" customHeight="1"/>
    <row r="8" ht="15" customHeight="1"/>
    <row r="9" ht="15" customHeight="1"/>
    <row r="10" ht="18" customHeight="1"/>
    <row r="12" ht="18" customHeight="1"/>
    <row r="16" ht="13.5" customHeight="1"/>
    <row r="17" spans="2:40" ht="21" hidden="1" customHeight="1">
      <c r="B17" s="3" t="s">
        <v>0</v>
      </c>
      <c r="H17" s="402" t="s">
        <v>1</v>
      </c>
      <c r="I17" s="403"/>
      <c r="J17" s="403"/>
      <c r="K17" s="4">
        <v>4</v>
      </c>
      <c r="L17" s="5" t="s">
        <v>2</v>
      </c>
    </row>
    <row r="18" spans="2:40" ht="23.55" customHeight="1">
      <c r="B18" s="3"/>
      <c r="J18" s="6"/>
      <c r="P18" s="7"/>
      <c r="Q18" s="7"/>
      <c r="R18" s="8"/>
      <c r="S18" s="8"/>
      <c r="T18" s="8"/>
      <c r="U18" s="8"/>
      <c r="V18" s="8"/>
      <c r="W18" s="8"/>
      <c r="X18" s="8"/>
      <c r="Y18" s="404" t="s">
        <v>3</v>
      </c>
      <c r="Z18" s="404"/>
      <c r="AA18" s="404"/>
      <c r="AB18" s="404"/>
      <c r="AC18" s="404"/>
      <c r="AD18" s="404"/>
      <c r="AE18" s="404"/>
      <c r="AF18" s="404"/>
      <c r="AG18" s="404"/>
      <c r="AH18" s="404"/>
      <c r="AI18" s="404"/>
      <c r="AJ18" s="404"/>
      <c r="AK18" s="404"/>
      <c r="AL18" s="404"/>
      <c r="AM18" s="404"/>
      <c r="AN18" s="404"/>
    </row>
    <row r="19" spans="2:40" ht="30.45" customHeight="1" thickBot="1">
      <c r="E19" s="405" t="s">
        <v>4</v>
      </c>
      <c r="F19" s="405"/>
      <c r="G19" s="405"/>
      <c r="H19" s="405"/>
      <c r="I19" s="3"/>
      <c r="J19" s="391" t="s">
        <v>5</v>
      </c>
      <c r="K19" s="391"/>
      <c r="L19" s="391"/>
      <c r="M19" s="391"/>
      <c r="N19" s="391"/>
      <c r="O19" s="391"/>
      <c r="P19" s="9"/>
      <c r="Q19" s="10"/>
      <c r="R19" s="406" t="s">
        <v>6</v>
      </c>
      <c r="S19" s="406"/>
      <c r="T19" s="406"/>
      <c r="U19" s="406"/>
      <c r="V19" s="406"/>
      <c r="Y19" s="406" t="s">
        <v>7</v>
      </c>
      <c r="Z19" s="406"/>
      <c r="AA19" s="406"/>
      <c r="AB19" s="406"/>
      <c r="AC19" s="406"/>
      <c r="AF19" s="406" t="s">
        <v>8</v>
      </c>
      <c r="AG19" s="406"/>
      <c r="AH19" s="406"/>
      <c r="AI19" s="406"/>
      <c r="AJ19" s="406"/>
      <c r="AL19" s="407" t="s">
        <v>9</v>
      </c>
      <c r="AM19" s="407"/>
      <c r="AN19" s="407"/>
    </row>
    <row r="20" spans="2:40" ht="21" customHeight="1" thickTop="1" thickBot="1">
      <c r="B20" s="399" t="s">
        <v>10</v>
      </c>
      <c r="C20" s="399"/>
      <c r="D20" s="399"/>
      <c r="E20" s="400" t="s">
        <v>276</v>
      </c>
      <c r="F20" s="401"/>
      <c r="G20" s="401"/>
      <c r="H20" s="401"/>
      <c r="I20" s="11"/>
      <c r="J20" s="12" t="s">
        <v>11</v>
      </c>
      <c r="K20" s="13"/>
      <c r="L20" s="5" t="s">
        <v>12</v>
      </c>
      <c r="M20" s="13"/>
      <c r="N20" s="5" t="s">
        <v>2</v>
      </c>
      <c r="O20" s="13"/>
      <c r="P20" s="361" t="s">
        <v>13</v>
      </c>
      <c r="Q20" s="14"/>
      <c r="R20" s="393"/>
      <c r="S20" s="394"/>
      <c r="T20" s="394"/>
      <c r="U20" s="394"/>
      <c r="V20" s="395"/>
      <c r="W20" s="1" t="s">
        <v>14</v>
      </c>
      <c r="Y20" s="393"/>
      <c r="Z20" s="394"/>
      <c r="AA20" s="394"/>
      <c r="AB20" s="394"/>
      <c r="AC20" s="395"/>
      <c r="AD20" s="1" t="s">
        <v>14</v>
      </c>
      <c r="AF20" s="393"/>
      <c r="AG20" s="394"/>
      <c r="AH20" s="394"/>
      <c r="AI20" s="394"/>
      <c r="AJ20" s="395"/>
      <c r="AK20" s="1" t="s">
        <v>14</v>
      </c>
      <c r="AL20" s="1" t="s">
        <v>15</v>
      </c>
      <c r="AM20" s="15"/>
      <c r="AN20" s="16"/>
    </row>
    <row r="21" spans="2:40" ht="21" customHeight="1" thickTop="1">
      <c r="B21" s="390"/>
      <c r="C21" s="390"/>
      <c r="D21" s="390"/>
      <c r="E21" s="408" t="s">
        <v>16</v>
      </c>
      <c r="F21" s="408"/>
      <c r="G21" s="408"/>
      <c r="H21" s="408"/>
      <c r="J21" s="18" t="str">
        <f>IF(K20*M20*O20=0,B20&amp;" を計算対象とする場合は生年月日を入力してください。",IF(算出基礎情報!C5&lt;算出基礎情報!$R$26,"75歳以上の方は国民健康保険の対象外のため、計算の対象外になります。",""))</f>
        <v>世帯主 を計算対象とする場合は生年月日を入力してください。</v>
      </c>
      <c r="K21" s="2"/>
      <c r="L21" s="19"/>
      <c r="M21" s="19"/>
      <c r="N21" s="19"/>
      <c r="O21" s="20"/>
      <c r="P21" s="21"/>
      <c r="Q21" s="21"/>
      <c r="R21" s="21"/>
      <c r="S21" s="21"/>
      <c r="T21" s="21"/>
      <c r="U21" s="21"/>
      <c r="V21" s="21"/>
      <c r="W21" s="21"/>
      <c r="X21" s="21"/>
      <c r="Y21" s="21"/>
      <c r="Z21" s="21"/>
      <c r="AA21" s="21"/>
      <c r="AB21" s="21"/>
      <c r="AC21" s="21"/>
      <c r="AD21" s="21"/>
      <c r="AE21" s="21"/>
      <c r="AF21" s="21"/>
      <c r="AG21" s="21"/>
      <c r="AH21" s="21"/>
      <c r="AI21" s="21"/>
      <c r="AJ21" s="21"/>
      <c r="AK21" s="21"/>
      <c r="AL21" s="21"/>
      <c r="AM21" s="22"/>
      <c r="AN21" s="23"/>
    </row>
    <row r="22" spans="2:40" ht="21" customHeight="1">
      <c r="B22" s="391" t="s">
        <v>17</v>
      </c>
      <c r="C22" s="391"/>
      <c r="D22" s="391"/>
      <c r="E22" s="392" t="str">
        <f>IF(K22*M22*O22=0,"(加入しない)",IF(J23&lt;&gt;"","（加入しない）","加入する"))</f>
        <v>(加入しない)</v>
      </c>
      <c r="F22" s="392"/>
      <c r="G22" s="392"/>
      <c r="H22" s="392"/>
      <c r="J22" s="12" t="s">
        <v>277</v>
      </c>
      <c r="K22" s="13"/>
      <c r="L22" s="5" t="s">
        <v>12</v>
      </c>
      <c r="M22" s="13"/>
      <c r="N22" s="5" t="s">
        <v>2</v>
      </c>
      <c r="O22" s="13"/>
      <c r="P22" s="361" t="s">
        <v>13</v>
      </c>
      <c r="Q22" s="14"/>
      <c r="R22" s="393"/>
      <c r="S22" s="394"/>
      <c r="T22" s="394"/>
      <c r="U22" s="394"/>
      <c r="V22" s="395"/>
      <c r="W22" s="1" t="s">
        <v>14</v>
      </c>
      <c r="Y22" s="393"/>
      <c r="Z22" s="394"/>
      <c r="AA22" s="394"/>
      <c r="AB22" s="394"/>
      <c r="AC22" s="395"/>
      <c r="AD22" s="1" t="s">
        <v>14</v>
      </c>
      <c r="AF22" s="393"/>
      <c r="AG22" s="394"/>
      <c r="AH22" s="394"/>
      <c r="AI22" s="394"/>
      <c r="AJ22" s="395"/>
      <c r="AK22" s="1" t="s">
        <v>14</v>
      </c>
      <c r="AM22" s="15"/>
      <c r="AN22" s="16"/>
    </row>
    <row r="23" spans="2:40" ht="21" customHeight="1">
      <c r="B23" s="390"/>
      <c r="C23" s="390"/>
      <c r="D23" s="390"/>
      <c r="J23" s="18" t="str">
        <f>IF(K22*M22*O22=0,B22&amp;" を計算対象とする場合は生年月日を入力してください。",IF(算出基礎情報!C6&lt;算出基礎情報!$R$26,"75歳以上の方は国民健康保険の対象外のため、計算の対象外になります。",""))</f>
        <v>加入者１ を計算対象とする場合は生年月日を入力してください。</v>
      </c>
      <c r="K23" s="19"/>
      <c r="L23" s="19"/>
      <c r="M23" s="19"/>
      <c r="N23" s="19"/>
      <c r="O23" s="20"/>
      <c r="P23" s="24"/>
      <c r="Q23" s="24"/>
      <c r="AM23" s="5"/>
      <c r="AN23" s="16"/>
    </row>
    <row r="24" spans="2:40" ht="21" customHeight="1">
      <c r="B24" s="391" t="s">
        <v>19</v>
      </c>
      <c r="C24" s="391"/>
      <c r="D24" s="391"/>
      <c r="E24" s="392" t="str">
        <f>IF(K24*M24*O24=0,"(加入しない)",IF(J25&lt;&gt;"","（加入しない）","加入する"))</f>
        <v>(加入しない)</v>
      </c>
      <c r="F24" s="392"/>
      <c r="G24" s="392"/>
      <c r="H24" s="392"/>
      <c r="J24" s="12" t="s">
        <v>278</v>
      </c>
      <c r="K24" s="13"/>
      <c r="L24" s="5" t="s">
        <v>12</v>
      </c>
      <c r="M24" s="13"/>
      <c r="N24" s="5" t="s">
        <v>2</v>
      </c>
      <c r="O24" s="13"/>
      <c r="P24" s="361" t="s">
        <v>13</v>
      </c>
      <c r="Q24" s="14"/>
      <c r="R24" s="393"/>
      <c r="S24" s="394"/>
      <c r="T24" s="394"/>
      <c r="U24" s="394"/>
      <c r="V24" s="395"/>
      <c r="W24" s="1" t="s">
        <v>14</v>
      </c>
      <c r="Y24" s="393"/>
      <c r="Z24" s="394"/>
      <c r="AA24" s="394"/>
      <c r="AB24" s="394"/>
      <c r="AC24" s="395"/>
      <c r="AD24" s="1" t="s">
        <v>14</v>
      </c>
      <c r="AF24" s="393"/>
      <c r="AG24" s="394"/>
      <c r="AH24" s="394"/>
      <c r="AI24" s="394"/>
      <c r="AJ24" s="395"/>
      <c r="AK24" s="1" t="s">
        <v>14</v>
      </c>
      <c r="AM24" s="15"/>
      <c r="AN24" s="16"/>
    </row>
    <row r="25" spans="2:40" ht="21" customHeight="1">
      <c r="B25" s="390"/>
      <c r="C25" s="390"/>
      <c r="D25" s="390"/>
      <c r="J25" s="18" t="str">
        <f>IF(K24*M24*O24=0,B24&amp;" を計算対象とする場合は生年月日を入力してください。",IF(算出基礎情報!C7&lt;算出基礎情報!$R$26,"75歳以上の方は国民健康保険の対象外のため、計算の対象外になります。",""))</f>
        <v>加入者２ を計算対象とする場合は生年月日を入力してください。</v>
      </c>
      <c r="K25" s="19"/>
      <c r="L25" s="19"/>
      <c r="M25" s="19"/>
      <c r="N25" s="19"/>
      <c r="O25" s="20"/>
      <c r="P25" s="24"/>
      <c r="Q25" s="24"/>
      <c r="AM25" s="5"/>
      <c r="AN25" s="16"/>
    </row>
    <row r="26" spans="2:40" ht="21" customHeight="1">
      <c r="B26" s="391" t="s">
        <v>20</v>
      </c>
      <c r="C26" s="391"/>
      <c r="D26" s="391"/>
      <c r="E26" s="392" t="str">
        <f>IF(K26*M26*O26=0,"(加入しない)",IF(J27&lt;&gt;"","（加入しない）","加入する"))</f>
        <v>(加入しない)</v>
      </c>
      <c r="F26" s="392"/>
      <c r="G26" s="392"/>
      <c r="H26" s="392"/>
      <c r="J26" s="12" t="s">
        <v>18</v>
      </c>
      <c r="K26" s="13"/>
      <c r="L26" s="5" t="s">
        <v>12</v>
      </c>
      <c r="M26" s="13"/>
      <c r="N26" s="5" t="s">
        <v>2</v>
      </c>
      <c r="O26" s="13"/>
      <c r="P26" s="361" t="s">
        <v>13</v>
      </c>
      <c r="Q26" s="14"/>
      <c r="R26" s="393"/>
      <c r="S26" s="394"/>
      <c r="T26" s="394"/>
      <c r="U26" s="394"/>
      <c r="V26" s="395"/>
      <c r="W26" s="1" t="s">
        <v>14</v>
      </c>
      <c r="Y26" s="393"/>
      <c r="Z26" s="394"/>
      <c r="AA26" s="394"/>
      <c r="AB26" s="394"/>
      <c r="AC26" s="395"/>
      <c r="AD26" s="1" t="s">
        <v>14</v>
      </c>
      <c r="AF26" s="393"/>
      <c r="AG26" s="394"/>
      <c r="AH26" s="394"/>
      <c r="AI26" s="394"/>
      <c r="AJ26" s="395"/>
      <c r="AK26" s="1" t="s">
        <v>14</v>
      </c>
      <c r="AM26" s="15"/>
      <c r="AN26" s="16"/>
    </row>
    <row r="27" spans="2:40" ht="21" customHeight="1">
      <c r="B27" s="390"/>
      <c r="C27" s="390"/>
      <c r="D27" s="390"/>
      <c r="J27" s="18" t="str">
        <f>IF(K26*M26*O26=0,B26&amp;" を計算対象とする場合は生年月日を入力してください。",IF(算出基礎情報!C8&lt;算出基礎情報!$R$26,"75歳以上の方は国民健康保険の対象外のため、計算の対象外になります。",""))</f>
        <v>加入者３ を計算対象とする場合は生年月日を入力してください。</v>
      </c>
      <c r="K27" s="19"/>
      <c r="L27" s="19"/>
      <c r="M27" s="19"/>
      <c r="N27" s="19"/>
      <c r="O27" s="20"/>
      <c r="P27" s="24"/>
      <c r="Q27" s="24"/>
      <c r="AM27" s="5"/>
      <c r="AN27" s="16"/>
    </row>
    <row r="28" spans="2:40" ht="21" customHeight="1">
      <c r="B28" s="391" t="s">
        <v>21</v>
      </c>
      <c r="C28" s="391"/>
      <c r="D28" s="391"/>
      <c r="E28" s="392" t="str">
        <f>IF(K28*M28*O28=0,"(加入しない)",IF(J29&lt;&gt;"","（加入しない）","加入する"))</f>
        <v>(加入しない)</v>
      </c>
      <c r="F28" s="392"/>
      <c r="G28" s="392"/>
      <c r="H28" s="392"/>
      <c r="J28" s="12" t="s">
        <v>18</v>
      </c>
      <c r="K28" s="13"/>
      <c r="L28" s="5" t="s">
        <v>12</v>
      </c>
      <c r="M28" s="13"/>
      <c r="N28" s="5" t="s">
        <v>2</v>
      </c>
      <c r="O28" s="13"/>
      <c r="P28" s="361" t="s">
        <v>13</v>
      </c>
      <c r="Q28" s="14"/>
      <c r="R28" s="393"/>
      <c r="S28" s="394"/>
      <c r="T28" s="394"/>
      <c r="U28" s="394"/>
      <c r="V28" s="395"/>
      <c r="W28" s="1" t="s">
        <v>14</v>
      </c>
      <c r="Y28" s="393"/>
      <c r="Z28" s="394"/>
      <c r="AA28" s="394"/>
      <c r="AB28" s="394"/>
      <c r="AC28" s="395"/>
      <c r="AD28" s="1" t="s">
        <v>14</v>
      </c>
      <c r="AF28" s="393"/>
      <c r="AG28" s="394"/>
      <c r="AH28" s="394"/>
      <c r="AI28" s="394"/>
      <c r="AJ28" s="395"/>
      <c r="AK28" s="1" t="s">
        <v>14</v>
      </c>
      <c r="AM28" s="15"/>
      <c r="AN28" s="16"/>
    </row>
    <row r="29" spans="2:40" ht="21" customHeight="1">
      <c r="B29" s="390"/>
      <c r="C29" s="390"/>
      <c r="D29" s="390"/>
      <c r="J29" s="18" t="str">
        <f>IF(K28*M28*O28=0,B28&amp;" を計算対象とする場合は生年月日を入力してください。",IF(算出基礎情報!C9&lt;算出基礎情報!$R$26,"75歳以上の方は国民健康保険の対象外のため、計算の対象外になります。",""))</f>
        <v>加入者４ を計算対象とする場合は生年月日を入力してください。</v>
      </c>
      <c r="K29" s="19"/>
      <c r="L29" s="19"/>
      <c r="M29" s="19"/>
      <c r="N29" s="19"/>
      <c r="O29" s="20"/>
      <c r="P29" s="24"/>
      <c r="Q29" s="24"/>
      <c r="AM29" s="5"/>
      <c r="AN29" s="16"/>
    </row>
    <row r="30" spans="2:40" ht="21" customHeight="1">
      <c r="B30" s="391" t="s">
        <v>22</v>
      </c>
      <c r="C30" s="391"/>
      <c r="D30" s="391"/>
      <c r="E30" s="392" t="str">
        <f>IF(K30*M30*O30=0,"(加入しない)",IF(J31&lt;&gt;"","（加入しない）","加入する"))</f>
        <v>(加入しない)</v>
      </c>
      <c r="F30" s="392"/>
      <c r="G30" s="392"/>
      <c r="H30" s="392"/>
      <c r="J30" s="12" t="s">
        <v>18</v>
      </c>
      <c r="K30" s="13"/>
      <c r="L30" s="5" t="s">
        <v>12</v>
      </c>
      <c r="M30" s="13"/>
      <c r="N30" s="5" t="s">
        <v>2</v>
      </c>
      <c r="O30" s="13"/>
      <c r="P30" s="361" t="s">
        <v>13</v>
      </c>
      <c r="Q30" s="14"/>
      <c r="R30" s="393"/>
      <c r="S30" s="394"/>
      <c r="T30" s="394"/>
      <c r="U30" s="394"/>
      <c r="V30" s="395"/>
      <c r="W30" s="1" t="s">
        <v>14</v>
      </c>
      <c r="Y30" s="393"/>
      <c r="Z30" s="394"/>
      <c r="AA30" s="394"/>
      <c r="AB30" s="394"/>
      <c r="AC30" s="395"/>
      <c r="AD30" s="1" t="s">
        <v>14</v>
      </c>
      <c r="AF30" s="393"/>
      <c r="AG30" s="394"/>
      <c r="AH30" s="394"/>
      <c r="AI30" s="394"/>
      <c r="AJ30" s="395"/>
      <c r="AK30" s="1" t="s">
        <v>14</v>
      </c>
      <c r="AM30" s="15"/>
      <c r="AN30" s="16"/>
    </row>
    <row r="31" spans="2:40" ht="21" customHeight="1">
      <c r="B31" s="390"/>
      <c r="C31" s="390"/>
      <c r="D31" s="390"/>
      <c r="J31" s="18" t="str">
        <f>IF(K30*M30*O30=0,B30&amp;" を計算対象とする場合は生年月日を入力してください。",IF(算出基礎情報!C10&lt;算出基礎情報!$R$26,"75歳以上の方は国民健康保険の対象外のため、計算の対象外になります。",""))</f>
        <v>加入者５ を計算対象とする場合は生年月日を入力してください。</v>
      </c>
      <c r="AN31" s="25"/>
    </row>
    <row r="32" spans="2:40" ht="5.55" customHeight="1"/>
    <row r="33" spans="2:39" ht="19.5" customHeight="1"/>
    <row r="34" spans="2:39" ht="24.6" customHeight="1">
      <c r="B34" s="362" t="s">
        <v>23</v>
      </c>
      <c r="C34" s="363"/>
      <c r="D34" s="363"/>
      <c r="E34" s="363"/>
      <c r="F34" s="363"/>
      <c r="G34" s="396" t="s">
        <v>24</v>
      </c>
      <c r="H34" s="396"/>
      <c r="I34" s="396"/>
      <c r="J34" s="396"/>
      <c r="K34" s="396"/>
      <c r="L34" s="397" t="s">
        <v>25</v>
      </c>
      <c r="M34" s="397"/>
      <c r="N34" s="397"/>
      <c r="O34" s="397"/>
      <c r="P34" s="397"/>
      <c r="Q34" s="398" t="s">
        <v>26</v>
      </c>
      <c r="R34" s="398"/>
      <c r="S34" s="398"/>
      <c r="T34" s="398"/>
      <c r="U34" s="398"/>
      <c r="V34" s="398"/>
      <c r="W34" s="398"/>
      <c r="X34" s="389" t="s">
        <v>27</v>
      </c>
      <c r="Y34" s="389"/>
      <c r="Z34" s="389"/>
      <c r="AA34" s="389"/>
      <c r="AB34" s="389"/>
      <c r="AC34" s="389"/>
      <c r="AD34" s="389"/>
    </row>
    <row r="35" spans="2:39" ht="18" customHeight="1">
      <c r="X35" s="5"/>
      <c r="Y35" s="5"/>
      <c r="Z35" s="5"/>
      <c r="AA35" s="5"/>
      <c r="AB35" s="5"/>
      <c r="AC35" s="5"/>
      <c r="AD35" s="5"/>
    </row>
    <row r="36" spans="2:39" ht="24.6" customHeight="1">
      <c r="B36" s="362" t="s">
        <v>28</v>
      </c>
      <c r="C36" s="363"/>
      <c r="D36" s="363"/>
      <c r="E36" s="363"/>
      <c r="F36" s="363"/>
      <c r="G36" s="364">
        <f>計算の詳細!Q8</f>
        <v>0</v>
      </c>
      <c r="H36" s="365"/>
      <c r="I36" s="365"/>
      <c r="J36" s="365"/>
      <c r="K36" s="26" t="s">
        <v>14</v>
      </c>
      <c r="L36" s="366">
        <f>計算の詳細!Q26</f>
        <v>0</v>
      </c>
      <c r="M36" s="367"/>
      <c r="N36" s="367"/>
      <c r="O36" s="367"/>
      <c r="P36" s="27" t="s">
        <v>14</v>
      </c>
      <c r="Q36" s="368">
        <f>計算の詳細!Q44</f>
        <v>0</v>
      </c>
      <c r="R36" s="369"/>
      <c r="S36" s="369"/>
      <c r="T36" s="369"/>
      <c r="U36" s="369"/>
      <c r="V36" s="369"/>
      <c r="W36" s="28" t="s">
        <v>14</v>
      </c>
      <c r="X36" s="385">
        <f>計算の詳細!Q62</f>
        <v>0</v>
      </c>
      <c r="Y36" s="386"/>
      <c r="Z36" s="386"/>
      <c r="AA36" s="386"/>
      <c r="AB36" s="386"/>
      <c r="AC36" s="386"/>
      <c r="AD36" s="29" t="s">
        <v>14</v>
      </c>
    </row>
    <row r="37" spans="2:39" ht="14.7" customHeight="1">
      <c r="G37" s="388" t="s">
        <v>29</v>
      </c>
      <c r="H37" s="388"/>
      <c r="I37" s="388"/>
      <c r="J37" s="388"/>
      <c r="K37" s="388"/>
      <c r="L37" s="388" t="s">
        <v>29</v>
      </c>
      <c r="M37" s="388"/>
      <c r="N37" s="388"/>
      <c r="O37" s="388"/>
      <c r="P37" s="388"/>
      <c r="Q37" s="388" t="s">
        <v>29</v>
      </c>
      <c r="R37" s="388"/>
      <c r="S37" s="388"/>
      <c r="T37" s="388"/>
      <c r="U37" s="388"/>
      <c r="V37" s="388"/>
      <c r="W37" s="388"/>
      <c r="X37" s="388" t="s">
        <v>29</v>
      </c>
      <c r="Y37" s="388"/>
      <c r="Z37" s="388"/>
      <c r="AA37" s="388"/>
      <c r="AB37" s="388"/>
      <c r="AC37" s="388"/>
      <c r="AD37" s="388"/>
    </row>
    <row r="38" spans="2:39" ht="24.6" customHeight="1">
      <c r="B38" s="362" t="s">
        <v>30</v>
      </c>
      <c r="C38" s="363"/>
      <c r="D38" s="363"/>
      <c r="E38" s="363"/>
      <c r="F38" s="363"/>
      <c r="G38" s="364">
        <f>計算の詳細!Q15</f>
        <v>0</v>
      </c>
      <c r="H38" s="365"/>
      <c r="I38" s="365"/>
      <c r="J38" s="365"/>
      <c r="K38" s="26" t="s">
        <v>14</v>
      </c>
      <c r="L38" s="366">
        <f>計算の詳細!Q33</f>
        <v>0</v>
      </c>
      <c r="M38" s="367"/>
      <c r="N38" s="367"/>
      <c r="O38" s="367"/>
      <c r="P38" s="27" t="s">
        <v>14</v>
      </c>
      <c r="Q38" s="368">
        <f>計算の詳細!Q51</f>
        <v>0</v>
      </c>
      <c r="R38" s="369"/>
      <c r="S38" s="369"/>
      <c r="T38" s="369"/>
      <c r="U38" s="369"/>
      <c r="V38" s="369"/>
      <c r="W38" s="28" t="s">
        <v>14</v>
      </c>
      <c r="X38" s="385">
        <f>計算の詳細!Q69</f>
        <v>0</v>
      </c>
      <c r="Y38" s="386"/>
      <c r="Z38" s="386"/>
      <c r="AA38" s="386"/>
      <c r="AB38" s="386"/>
      <c r="AC38" s="386"/>
      <c r="AD38" s="29" t="s">
        <v>14</v>
      </c>
    </row>
    <row r="39" spans="2:39" ht="14.7" customHeight="1">
      <c r="G39" s="388" t="s">
        <v>29</v>
      </c>
      <c r="H39" s="388"/>
      <c r="I39" s="388"/>
      <c r="J39" s="388"/>
      <c r="K39" s="388"/>
      <c r="L39" s="388" t="s">
        <v>29</v>
      </c>
      <c r="M39" s="388"/>
      <c r="N39" s="388"/>
      <c r="O39" s="388"/>
      <c r="P39" s="388"/>
      <c r="Q39" s="388" t="s">
        <v>29</v>
      </c>
      <c r="R39" s="388"/>
      <c r="S39" s="388"/>
      <c r="T39" s="388"/>
      <c r="U39" s="388"/>
      <c r="V39" s="388"/>
      <c r="W39" s="388"/>
      <c r="X39" s="388" t="s">
        <v>29</v>
      </c>
      <c r="Y39" s="388"/>
      <c r="Z39" s="388"/>
      <c r="AA39" s="388"/>
      <c r="AB39" s="388"/>
      <c r="AC39" s="388"/>
      <c r="AD39" s="388"/>
    </row>
    <row r="40" spans="2:39" ht="24.6" customHeight="1">
      <c r="B40" s="362" t="s">
        <v>31</v>
      </c>
      <c r="C40" s="363"/>
      <c r="D40" s="363"/>
      <c r="E40" s="363"/>
      <c r="F40" s="363"/>
      <c r="G40" s="364">
        <f>計算の詳細!Q18</f>
        <v>0</v>
      </c>
      <c r="H40" s="365"/>
      <c r="I40" s="365"/>
      <c r="J40" s="365"/>
      <c r="K40" s="30" t="s">
        <v>14</v>
      </c>
      <c r="L40" s="366">
        <f>計算の詳細!Q36</f>
        <v>0</v>
      </c>
      <c r="M40" s="367"/>
      <c r="N40" s="367"/>
      <c r="O40" s="367"/>
      <c r="P40" s="27" t="s">
        <v>14</v>
      </c>
      <c r="Q40" s="368">
        <v>0</v>
      </c>
      <c r="R40" s="369"/>
      <c r="S40" s="369"/>
      <c r="T40" s="369"/>
      <c r="U40" s="369"/>
      <c r="V40" s="369"/>
      <c r="W40" s="28" t="s">
        <v>14</v>
      </c>
      <c r="X40" s="385">
        <f>計算の詳細!Q71</f>
        <v>0</v>
      </c>
      <c r="Y40" s="386"/>
      <c r="Z40" s="386"/>
      <c r="AA40" s="386"/>
      <c r="AB40" s="386"/>
      <c r="AC40" s="386"/>
      <c r="AD40" s="29" t="s">
        <v>14</v>
      </c>
    </row>
    <row r="41" spans="2:39" ht="14.7" customHeight="1" thickBot="1">
      <c r="G41" s="387" t="s">
        <v>32</v>
      </c>
      <c r="H41" s="387"/>
      <c r="I41" s="387"/>
      <c r="J41" s="387"/>
      <c r="K41" s="387"/>
      <c r="L41" s="387" t="s">
        <v>32</v>
      </c>
      <c r="M41" s="387"/>
      <c r="N41" s="387"/>
      <c r="O41" s="387"/>
      <c r="P41" s="387"/>
      <c r="Q41" s="387" t="s">
        <v>32</v>
      </c>
      <c r="R41" s="387"/>
      <c r="S41" s="387"/>
      <c r="T41" s="387"/>
      <c r="U41" s="387"/>
      <c r="V41" s="387"/>
      <c r="W41" s="387"/>
      <c r="X41" s="387" t="s">
        <v>32</v>
      </c>
      <c r="Y41" s="387"/>
      <c r="Z41" s="387"/>
      <c r="AA41" s="387"/>
      <c r="AB41" s="387"/>
      <c r="AC41" s="387"/>
      <c r="AD41" s="387"/>
      <c r="AG41" s="376" t="s">
        <v>33</v>
      </c>
      <c r="AH41" s="376"/>
      <c r="AI41" s="376"/>
      <c r="AJ41" s="376"/>
      <c r="AK41" s="376"/>
      <c r="AL41" s="376"/>
      <c r="AM41" s="376"/>
    </row>
    <row r="42" spans="2:39" ht="27.6" customHeight="1" thickTop="1" thickBot="1">
      <c r="B42" s="362" t="s">
        <v>35</v>
      </c>
      <c r="C42" s="363"/>
      <c r="D42" s="363"/>
      <c r="E42" s="363"/>
      <c r="F42" s="363"/>
      <c r="G42" s="377">
        <f>計算の詳細!L20</f>
        <v>0</v>
      </c>
      <c r="H42" s="378"/>
      <c r="I42" s="378"/>
      <c r="J42" s="378"/>
      <c r="K42" s="31" t="s">
        <v>14</v>
      </c>
      <c r="L42" s="379">
        <f>計算の詳細!L38</f>
        <v>0</v>
      </c>
      <c r="M42" s="380"/>
      <c r="N42" s="380"/>
      <c r="O42" s="380"/>
      <c r="P42" s="32" t="s">
        <v>14</v>
      </c>
      <c r="Q42" s="381">
        <f>計算の詳細!L56</f>
        <v>0</v>
      </c>
      <c r="R42" s="382"/>
      <c r="S42" s="382"/>
      <c r="T42" s="382"/>
      <c r="U42" s="382"/>
      <c r="V42" s="382"/>
      <c r="W42" s="33" t="s">
        <v>14</v>
      </c>
      <c r="X42" s="370">
        <f>計算の詳細!L73</f>
        <v>0</v>
      </c>
      <c r="Y42" s="371"/>
      <c r="Z42" s="371"/>
      <c r="AA42" s="371"/>
      <c r="AB42" s="371"/>
      <c r="AC42" s="371"/>
      <c r="AD42" s="34" t="s">
        <v>14</v>
      </c>
      <c r="AG42" s="383">
        <f>計算の詳細!Q75</f>
        <v>0</v>
      </c>
      <c r="AH42" s="384"/>
      <c r="AI42" s="384"/>
      <c r="AJ42" s="384"/>
      <c r="AK42" s="384"/>
      <c r="AL42" s="384"/>
      <c r="AM42" s="35" t="s">
        <v>14</v>
      </c>
    </row>
    <row r="43" spans="2:39" ht="6.45" customHeight="1" thickTop="1"/>
    <row r="44" spans="2:39" ht="19.05" customHeight="1">
      <c r="B44" s="36" t="s">
        <v>36</v>
      </c>
      <c r="C44" s="36"/>
      <c r="G44" s="36"/>
      <c r="T44" s="36"/>
      <c r="X44" s="36"/>
      <c r="Z44" s="36" t="s">
        <v>274</v>
      </c>
      <c r="AG44" s="372">
        <f>計算の詳細!Q77</f>
        <v>0</v>
      </c>
      <c r="AH44" s="373"/>
      <c r="AI44" s="373"/>
      <c r="AJ44" s="373"/>
      <c r="AK44" s="373"/>
      <c r="AL44" s="373"/>
      <c r="AM44" s="37" t="s">
        <v>14</v>
      </c>
    </row>
    <row r="45" spans="2:39" ht="13.2" customHeight="1" thickBot="1">
      <c r="B45" s="374"/>
      <c r="C45" s="374"/>
      <c r="D45" s="374"/>
      <c r="E45" s="374"/>
      <c r="F45" s="374"/>
      <c r="AG45" s="375" t="s">
        <v>37</v>
      </c>
      <c r="AH45" s="375"/>
      <c r="AI45" s="375"/>
      <c r="AJ45" s="375"/>
      <c r="AK45" s="375"/>
      <c r="AL45" s="375"/>
      <c r="AM45" s="375"/>
    </row>
    <row r="46" spans="2:39" ht="23.7" customHeight="1" thickTop="1" thickBot="1">
      <c r="B46" s="374" t="s">
        <v>38</v>
      </c>
      <c r="C46" s="374"/>
      <c r="D46" s="374"/>
      <c r="E46" s="374"/>
      <c r="F46" s="374"/>
      <c r="G46" s="377">
        <f>算出基礎情報!N5</f>
        <v>670000</v>
      </c>
      <c r="H46" s="378"/>
      <c r="I46" s="378"/>
      <c r="J46" s="378"/>
      <c r="K46" s="38" t="s">
        <v>14</v>
      </c>
      <c r="L46" s="379">
        <f>算出基礎情報!N6</f>
        <v>260000</v>
      </c>
      <c r="M46" s="380"/>
      <c r="N46" s="380"/>
      <c r="O46" s="380"/>
      <c r="P46" s="32" t="s">
        <v>14</v>
      </c>
      <c r="Q46" s="381">
        <f>算出基礎情報!N7</f>
        <v>170000</v>
      </c>
      <c r="R46" s="382"/>
      <c r="S46" s="382"/>
      <c r="T46" s="382"/>
      <c r="U46" s="382"/>
      <c r="V46" s="382"/>
      <c r="W46" s="33" t="s">
        <v>14</v>
      </c>
      <c r="X46" s="370">
        <f>算出基礎情報!N8</f>
        <v>30000</v>
      </c>
      <c r="Y46" s="371"/>
      <c r="Z46" s="371"/>
      <c r="AA46" s="371"/>
      <c r="AB46" s="371"/>
      <c r="AC46" s="371"/>
      <c r="AD46" s="39" t="s">
        <v>14</v>
      </c>
    </row>
    <row r="47" spans="2:39" ht="7.2" customHeight="1" thickTop="1"/>
    <row r="48" spans="2:39" ht="21.6" customHeight="1">
      <c r="C48" s="40" t="str">
        <f>IF(算出基礎情報!G61="非該当","","低所得者向けの軽減制度に該当するため 均等割と平等割を "&amp;SUM(算出基礎情報!G61:G63)&amp;"割"&amp;"軽減しています。")</f>
        <v>低所得者向けの軽減制度に該当するため 均等割と平等割を 7割軽減しています。</v>
      </c>
    </row>
    <row r="49" spans="3:3" ht="21.6" customHeight="1">
      <c r="C49" s="40" t="str">
        <f>IF(COUNTIFS(算出基礎情報!G38:G43,"&gt;=1")&gt;=1,"非自発的失業による軽減が適用されています。","")</f>
        <v/>
      </c>
    </row>
    <row r="64" spans="3:3" s="219" customFormat="1" ht="29.4" customHeight="1"/>
  </sheetData>
  <sheetProtection algorithmName="SHA-512" hashValue="pGNKd3f4JRd8gBNQfNnKhW1AquKiZ7o05bsvKiUkIyvLWSJ2yVZP22gUA4Ph55Auik2elUYihcGZosU5Bw9R0Q==" saltValue="LII9LigH9XZGFabYB9GC3g==" spinCount="100000" sheet="1" objects="1" selectLockedCells="1"/>
  <mergeCells count="92">
    <mergeCell ref="Y22:AC22"/>
    <mergeCell ref="AF22:AJ22"/>
    <mergeCell ref="H17:J17"/>
    <mergeCell ref="Y18:AN18"/>
    <mergeCell ref="E19:H19"/>
    <mergeCell ref="J19:O19"/>
    <mergeCell ref="R19:V19"/>
    <mergeCell ref="Y19:AC19"/>
    <mergeCell ref="AF19:AJ19"/>
    <mergeCell ref="AL19:AN19"/>
    <mergeCell ref="E21:H21"/>
    <mergeCell ref="AF26:AJ26"/>
    <mergeCell ref="B20:D20"/>
    <mergeCell ref="E20:H20"/>
    <mergeCell ref="R20:V20"/>
    <mergeCell ref="Y20:AC20"/>
    <mergeCell ref="AF20:AJ20"/>
    <mergeCell ref="B23:D23"/>
    <mergeCell ref="B24:D24"/>
    <mergeCell ref="E24:H24"/>
    <mergeCell ref="R24:V24"/>
    <mergeCell ref="Y24:AC24"/>
    <mergeCell ref="AF24:AJ24"/>
    <mergeCell ref="B21:D21"/>
    <mergeCell ref="B22:D22"/>
    <mergeCell ref="E22:H22"/>
    <mergeCell ref="R22:V22"/>
    <mergeCell ref="B25:D25"/>
    <mergeCell ref="B26:D26"/>
    <mergeCell ref="E26:H26"/>
    <mergeCell ref="R26:V26"/>
    <mergeCell ref="Y26:AC26"/>
    <mergeCell ref="AF30:AJ30"/>
    <mergeCell ref="B27:D27"/>
    <mergeCell ref="B28:D28"/>
    <mergeCell ref="E28:H28"/>
    <mergeCell ref="R28:V28"/>
    <mergeCell ref="Y28:AC28"/>
    <mergeCell ref="AF28:AJ28"/>
    <mergeCell ref="X34:AD34"/>
    <mergeCell ref="B29:D29"/>
    <mergeCell ref="B30:D30"/>
    <mergeCell ref="E30:H30"/>
    <mergeCell ref="R30:V30"/>
    <mergeCell ref="Y30:AC30"/>
    <mergeCell ref="B31:D31"/>
    <mergeCell ref="B34:F34"/>
    <mergeCell ref="G34:K34"/>
    <mergeCell ref="L34:P34"/>
    <mergeCell ref="Q34:W34"/>
    <mergeCell ref="Q36:V36"/>
    <mergeCell ref="X36:AC36"/>
    <mergeCell ref="G37:K37"/>
    <mergeCell ref="L37:P37"/>
    <mergeCell ref="Q37:W37"/>
    <mergeCell ref="X37:AD37"/>
    <mergeCell ref="X38:AC38"/>
    <mergeCell ref="G39:K39"/>
    <mergeCell ref="L39:P39"/>
    <mergeCell ref="Q39:W39"/>
    <mergeCell ref="X39:AD39"/>
    <mergeCell ref="X40:AC40"/>
    <mergeCell ref="G41:K41"/>
    <mergeCell ref="L41:P41"/>
    <mergeCell ref="Q41:W41"/>
    <mergeCell ref="X41:AD41"/>
    <mergeCell ref="X46:AC46"/>
    <mergeCell ref="AG44:AL44"/>
    <mergeCell ref="B45:F45"/>
    <mergeCell ref="AG45:AM45"/>
    <mergeCell ref="AG41:AM41"/>
    <mergeCell ref="B42:F42"/>
    <mergeCell ref="G42:J42"/>
    <mergeCell ref="L42:O42"/>
    <mergeCell ref="Q42:V42"/>
    <mergeCell ref="X42:AC42"/>
    <mergeCell ref="AG42:AL42"/>
    <mergeCell ref="B46:F46"/>
    <mergeCell ref="G46:J46"/>
    <mergeCell ref="L46:O46"/>
    <mergeCell ref="Q46:V46"/>
    <mergeCell ref="Q40:V40"/>
    <mergeCell ref="B38:F38"/>
    <mergeCell ref="G38:J38"/>
    <mergeCell ref="L38:O38"/>
    <mergeCell ref="Q38:V38"/>
    <mergeCell ref="B36:F36"/>
    <mergeCell ref="G36:J36"/>
    <mergeCell ref="L36:O36"/>
    <mergeCell ref="B40:F40"/>
    <mergeCell ref="G40:J40"/>
    <mergeCell ref="L40:O40"/>
  </mergeCells>
  <phoneticPr fontId="4"/>
  <conditionalFormatting sqref="E20:H20">
    <cfRule type="notContainsText" dxfId="61" priority="13" operator="notContains" text="しない">
      <formula>ISERROR(SEARCH("しない",E20))</formula>
    </cfRule>
  </conditionalFormatting>
  <conditionalFormatting sqref="E22:H22">
    <cfRule type="containsText" dxfId="60" priority="7" operator="containsText" text="加入する">
      <formula>NOT(ISERROR(SEARCH("加入する",E22)))</formula>
    </cfRule>
  </conditionalFormatting>
  <conditionalFormatting sqref="P22">
    <cfRule type="expression" dxfId="59" priority="12">
      <formula>#REF!="加入する"</formula>
    </cfRule>
  </conditionalFormatting>
  <conditionalFormatting sqref="P24">
    <cfRule type="expression" dxfId="58" priority="11">
      <formula>#REF!="加入する"</formula>
    </cfRule>
  </conditionalFormatting>
  <conditionalFormatting sqref="P26">
    <cfRule type="expression" dxfId="57" priority="10">
      <formula>#REF!="加入する"</formula>
    </cfRule>
  </conditionalFormatting>
  <conditionalFormatting sqref="P28">
    <cfRule type="expression" dxfId="56" priority="9">
      <formula>#REF!="加入する"</formula>
    </cfRule>
  </conditionalFormatting>
  <conditionalFormatting sqref="P30">
    <cfRule type="expression" dxfId="55" priority="8">
      <formula>#REF!="加入する"</formula>
    </cfRule>
  </conditionalFormatting>
  <conditionalFormatting sqref="P20:Q20">
    <cfRule type="expression" dxfId="54" priority="15">
      <formula>#REF!="加入する"</formula>
    </cfRule>
  </conditionalFormatting>
  <conditionalFormatting sqref="Q22 Q24 Q26 Q28 Q30">
    <cfRule type="expression" dxfId="53" priority="14">
      <formula>L22="加入する"</formula>
    </cfRule>
  </conditionalFormatting>
  <conditionalFormatting sqref="E26:H26">
    <cfRule type="containsText" dxfId="52" priority="5" operator="containsText" text="加入する">
      <formula>NOT(ISERROR(SEARCH("加入する",E26)))</formula>
    </cfRule>
  </conditionalFormatting>
  <conditionalFormatting sqref="E28:H28">
    <cfRule type="containsText" dxfId="51" priority="4" operator="containsText" text="加入する">
      <formula>NOT(ISERROR(SEARCH("加入する",E28)))</formula>
    </cfRule>
  </conditionalFormatting>
  <conditionalFormatting sqref="E30:H30">
    <cfRule type="containsText" dxfId="50" priority="3" operator="containsText" text="加入する">
      <formula>NOT(ISERROR(SEARCH("加入する",E30)))</formula>
    </cfRule>
  </conditionalFormatting>
  <conditionalFormatting sqref="E24:H24">
    <cfRule type="containsText" dxfId="49" priority="1" operator="containsText" text="加入する">
      <formula>NOT(ISERROR(SEARCH("加入する",E24)))</formula>
    </cfRule>
  </conditionalFormatting>
  <dataValidations count="7">
    <dataValidation type="list" allowBlank="1" showInputMessage="1" showErrorMessage="1" sqref="J20" xr:uid="{4A7CB0D1-8A88-49E3-A876-4AF9ACF7E62C}">
      <formula1>"昭和_,平成,令和"</formula1>
    </dataValidation>
    <dataValidation type="list" allowBlank="1" showInputMessage="1" showErrorMessage="1" sqref="K17" xr:uid="{FDBAFF30-B728-4320-AEEB-C96E660BE0EB}">
      <formula1>INDIRECT($H$17)</formula1>
    </dataValidation>
    <dataValidation type="list" allowBlank="1" showInputMessage="1" showErrorMessage="1" sqref="H17:J17" xr:uid="{2C25A333-4E0F-41FA-8699-59E16C684255}">
      <formula1>"令和８年,令和９年"</formula1>
    </dataValidation>
    <dataValidation type="list" allowBlank="1" showInputMessage="1" showErrorMessage="1" sqref="K30 K22 K24 K26 K28 K20" xr:uid="{A88981EE-C765-4D55-AF4C-1436606D3D40}">
      <formula1>INDIRECT(J20)</formula1>
    </dataValidation>
    <dataValidation type="list" allowBlank="1" showInputMessage="1" showErrorMessage="1" sqref="J30 J22 J24 J26 J28" xr:uid="{F89972EC-1C9E-4CD1-83FC-C1360F15D0EC}">
      <formula1>"昭和,平成,令和"</formula1>
    </dataValidation>
    <dataValidation type="list" allowBlank="1" showInputMessage="1" showErrorMessage="1" sqref="E20:H20" xr:uid="{2343EBAB-F040-4793-B2F1-4FEB09A0E551}">
      <formula1>"加入する,加入しない"</formula1>
    </dataValidation>
    <dataValidation type="list" allowBlank="1" showInputMessage="1" showErrorMessage="1" sqref="AM20 AM22 AM28 AM24 AM26 AM30" xr:uid="{4C0FD102-7315-4555-88CF-FBB8281101AE}">
      <formula1>"○,　"</formula1>
    </dataValidation>
  </dataValidations>
  <hyperlinks>
    <hyperlink ref="Y18" location="源泉徴収票等の見方!A1" display="※源泉徴収票、確定申告書等の見方はこちら" xr:uid="{754A2094-DA5C-46C3-85C9-28BCF7DF2709}"/>
  </hyperlinks>
  <pageMargins left="0.70866141732283472" right="0.19685039370078741" top="0.55118110236220474" bottom="0.35433070866141736" header="0.31496062992125984" footer="0.31496062992125984"/>
  <pageSetup paperSize="9" scale="70" orientation="portrait" r:id="rId1"/>
  <headerFooter>
    <oddHeader>&amp;Lv1.1&amp;R&amp;D</oddHeader>
  </headerFooter>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70880A60-1A29-4013-BC6C-D155851A2F53}">
          <x14:formula1>
            <xm:f>ドロップダウンリスト!$M$5:$M$35</xm:f>
          </x14:formula1>
          <xm:sqref>O28</xm:sqref>
        </x14:dataValidation>
        <x14:dataValidation type="list" allowBlank="1" showInputMessage="1" showErrorMessage="1" xr:uid="{38A11501-51FE-4325-9BA8-8DBDDBD4F3C0}">
          <x14:formula1>
            <xm:f>ドロップダウンリスト!$L$5:$L$35</xm:f>
          </x14:formula1>
          <xm:sqref>O26</xm:sqref>
        </x14:dataValidation>
        <x14:dataValidation type="list" allowBlank="1" showInputMessage="1" showErrorMessage="1" xr:uid="{49937CBF-DB41-4C88-A9A4-192BF8B19C58}">
          <x14:formula1>
            <xm:f>ドロップダウンリスト!$K$5:$K$35</xm:f>
          </x14:formula1>
          <xm:sqref>O24</xm:sqref>
        </x14:dataValidation>
        <x14:dataValidation type="list" allowBlank="1" showInputMessage="1" showErrorMessage="1" xr:uid="{F2DFDE01-5569-4639-AEE1-4674E3B2678C}">
          <x14:formula1>
            <xm:f>ドロップダウンリスト!$J$5:$J$35</xm:f>
          </x14:formula1>
          <xm:sqref>O22</xm:sqref>
        </x14:dataValidation>
        <x14:dataValidation type="list" allowBlank="1" showInputMessage="1" showErrorMessage="1" xr:uid="{9372A4B1-70BA-4E8E-A3DA-DB976749932A}">
          <x14:formula1>
            <xm:f>ドロップダウンリスト!$N$5:$N$35</xm:f>
          </x14:formula1>
          <xm:sqref>O30</xm:sqref>
        </x14:dataValidation>
        <x14:dataValidation type="list" allowBlank="1" showInputMessage="1" showErrorMessage="1" xr:uid="{1CF33E37-FDAD-44CF-BB13-ADAF36A25AB1}">
          <x14:formula1>
            <xm:f>ドロップダウンリスト!$I$5:$I$16</xm:f>
          </x14:formula1>
          <xm:sqref>M20 M22 M24 M26 M28 M30</xm:sqref>
        </x14:dataValidation>
        <x14:dataValidation type="list" allowBlank="1" showInputMessage="1" showErrorMessage="1" xr:uid="{44C6B38C-17EB-4B51-9621-A899D97132F7}">
          <x14:formula1>
            <xm:f>ドロップダウンリスト!$I$5:$I$35</xm:f>
          </x14:formula1>
          <xm:sqref>O20</xm:sqref>
        </x14:dataValidation>
        <x14:dataValidation type="list" allowBlank="1" showInputMessage="1" xr:uid="{77AEB9E5-1E08-4F54-8E1B-2DBA28A3BAC6}">
          <x14:formula1>
            <xm:f>ドロップダウンリスト!$C$4:$C$304</xm:f>
          </x14:formula1>
          <xm:sqref>R20:V20 R22:V22 R24:V24 R26:V26 R28:V28 R30:V30 Y24:AC24 Y20:AC20 Y26:AC26 Y28:AC28 AF20:AJ20 Y30:AC30 AF30:AJ30 AF28:AJ28 AF26:AJ26 AF24:AJ24 AF22:AJ22 Y22:AC22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01C15-2895-4F5B-AD79-06079521DB73}">
  <dimension ref="D3:T79"/>
  <sheetViews>
    <sheetView showGridLines="0" view="pageBreakPreview" topLeftCell="D1" zoomScale="55" zoomScaleNormal="70" zoomScaleSheetLayoutView="55" workbookViewId="0">
      <selection activeCell="D94" sqref="D94"/>
    </sheetView>
  </sheetViews>
  <sheetFormatPr defaultColWidth="2.69921875" defaultRowHeight="20.7" customHeight="1"/>
  <cols>
    <col min="1" max="1" width="2.69921875" style="1"/>
    <col min="2" max="3" width="1.19921875" style="1" customWidth="1"/>
    <col min="4" max="4" width="10.09765625" style="1" customWidth="1"/>
    <col min="5" max="5" width="11.19921875" style="1" customWidth="1"/>
    <col min="6" max="6" width="15.8984375" style="1" customWidth="1"/>
    <col min="7" max="7" width="4" style="1" customWidth="1"/>
    <col min="8" max="8" width="14.8984375" style="1" customWidth="1"/>
    <col min="9" max="9" width="3.69921875" style="1" customWidth="1"/>
    <col min="10" max="10" width="16.09765625" style="1" customWidth="1"/>
    <col min="11" max="11" width="4.5" style="1" customWidth="1"/>
    <col min="12" max="12" width="15.59765625" style="1" customWidth="1"/>
    <col min="13" max="13" width="3.59765625" style="1" customWidth="1"/>
    <col min="14" max="14" width="15.19921875" style="1" customWidth="1"/>
    <col min="15" max="15" width="1.59765625" style="1" customWidth="1"/>
    <col min="16" max="16" width="2.69921875" style="1"/>
    <col min="17" max="17" width="13.5" style="1" customWidth="1"/>
    <col min="18" max="18" width="3.59765625" style="1" customWidth="1"/>
    <col min="19" max="19" width="5.19921875" style="1" customWidth="1"/>
    <col min="20" max="20" width="2.69921875" style="1"/>
    <col min="21" max="21" width="1.69921875" style="1" customWidth="1"/>
    <col min="22" max="16384" width="2.69921875" style="1"/>
  </cols>
  <sheetData>
    <row r="3" spans="4:20" ht="12.75" customHeight="1"/>
    <row r="4" spans="4:20" ht="20.7" customHeight="1">
      <c r="D4" s="390"/>
      <c r="H4" s="42"/>
      <c r="J4" s="43"/>
    </row>
    <row r="5" spans="4:20" ht="14.7" customHeight="1">
      <c r="D5" s="390"/>
      <c r="H5" s="44"/>
    </row>
    <row r="6" spans="4:20" s="47" customFormat="1" ht="20.7" customHeight="1">
      <c r="D6" s="454" t="s">
        <v>40</v>
      </c>
      <c r="E6" s="45"/>
      <c r="F6" s="446" t="s">
        <v>41</v>
      </c>
      <c r="G6" s="45"/>
      <c r="H6" s="45" t="s">
        <v>42</v>
      </c>
      <c r="I6" s="45"/>
      <c r="J6" s="448" t="s">
        <v>273</v>
      </c>
      <c r="K6" s="45"/>
      <c r="L6" s="446" t="s">
        <v>43</v>
      </c>
      <c r="M6" s="45"/>
      <c r="N6" s="446" t="s">
        <v>44</v>
      </c>
      <c r="O6" s="45"/>
      <c r="P6" s="45"/>
      <c r="Q6" s="45"/>
      <c r="R6" s="45"/>
      <c r="S6" s="45"/>
      <c r="T6" s="46"/>
    </row>
    <row r="7" spans="4:20" s="47" customFormat="1" ht="20.7" customHeight="1">
      <c r="D7" s="469"/>
      <c r="E7" s="48"/>
      <c r="F7" s="447"/>
      <c r="G7" s="48"/>
      <c r="H7" s="48" t="s">
        <v>275</v>
      </c>
      <c r="I7" s="48"/>
      <c r="J7" s="449"/>
      <c r="K7" s="48"/>
      <c r="L7" s="447"/>
      <c r="M7" s="48"/>
      <c r="N7" s="447"/>
      <c r="O7" s="48"/>
      <c r="P7" s="48"/>
      <c r="Q7" s="48"/>
      <c r="R7" s="48"/>
      <c r="S7" s="49"/>
      <c r="T7" s="50"/>
    </row>
    <row r="8" spans="4:20" s="47" customFormat="1" ht="20.7" customHeight="1">
      <c r="D8" s="469"/>
      <c r="E8" s="51" t="s">
        <v>10</v>
      </c>
      <c r="F8" s="52" t="str">
        <f>IF(算出基礎情報!B38=0,"",IF(算出基礎情報!N38=0,"",算出基礎情報!N38))</f>
        <v/>
      </c>
      <c r="G8" s="53" t="str">
        <f>IF(F8="","","ー")</f>
        <v/>
      </c>
      <c r="H8" s="52" t="str">
        <f>IF(F8&lt;=0,"",IF(F8="","",IF(F8&lt;=430000,F8,430000)))</f>
        <v/>
      </c>
      <c r="I8" s="53" t="str">
        <f>IF(F8="","","＝")</f>
        <v/>
      </c>
      <c r="J8" s="54" t="str">
        <f>IF(F8="","",IF(F8=H8,"0円",F8-H8))</f>
        <v/>
      </c>
      <c r="K8" s="55"/>
      <c r="L8" s="55"/>
      <c r="M8" s="55"/>
      <c r="N8" s="451">
        <f>算出基礎情報!J5</f>
        <v>7.6799999999999993E-2</v>
      </c>
      <c r="O8" s="51"/>
      <c r="P8" s="48"/>
      <c r="Q8" s="439">
        <f>IF(L10="",0,ROUNDDOWN(L10*N8,0))</f>
        <v>0</v>
      </c>
      <c r="R8" s="433" t="s">
        <v>14</v>
      </c>
      <c r="S8" s="434" t="s">
        <v>45</v>
      </c>
      <c r="T8" s="435"/>
    </row>
    <row r="9" spans="4:20" s="47" customFormat="1" ht="20.7" customHeight="1">
      <c r="D9" s="469"/>
      <c r="E9" s="56" t="s">
        <v>17</v>
      </c>
      <c r="F9" s="57" t="str">
        <f>IF(算出基礎情報!B39=0,"",IF(算出基礎情報!N39=0,"",算出基礎情報!N39))</f>
        <v/>
      </c>
      <c r="G9" s="58" t="str">
        <f t="shared" ref="G9:G13" si="0">IF(F9="","","ー")</f>
        <v/>
      </c>
      <c r="H9" s="57" t="str">
        <f>IF(F9&lt;=0,"",IF(F9="","",IF(F9&lt;=430000,F9,430000)))</f>
        <v/>
      </c>
      <c r="I9" s="58" t="str">
        <f t="shared" ref="I9:I13" si="1">IF(F9="","","＝")</f>
        <v/>
      </c>
      <c r="J9" s="59" t="str">
        <f>IF(F9="","",IF(F9=H9,"0円",F9-H9))</f>
        <v/>
      </c>
      <c r="K9" s="60"/>
      <c r="L9" s="61"/>
      <c r="M9" s="60"/>
      <c r="N9" s="473"/>
      <c r="O9" s="56"/>
      <c r="P9" s="48"/>
      <c r="Q9" s="439"/>
      <c r="R9" s="433"/>
      <c r="S9" s="434"/>
      <c r="T9" s="435"/>
    </row>
    <row r="10" spans="4:20" s="47" customFormat="1" ht="20.7" customHeight="1">
      <c r="D10" s="469"/>
      <c r="E10" s="51" t="s">
        <v>19</v>
      </c>
      <c r="F10" s="52" t="str">
        <f>IF(算出基礎情報!B40=0,"",IF(算出基礎情報!N40=0,"",算出基礎情報!N40))</f>
        <v/>
      </c>
      <c r="G10" s="53" t="str">
        <f t="shared" si="0"/>
        <v/>
      </c>
      <c r="H10" s="52" t="str">
        <f t="shared" ref="H10:H12" si="2">IF(F10&lt;=0,"",IF(F10="","",IF(F10&lt;=430000,F10,430000)))</f>
        <v/>
      </c>
      <c r="I10" s="53" t="str">
        <f t="shared" si="1"/>
        <v/>
      </c>
      <c r="J10" s="54" t="str">
        <f t="shared" ref="J10:J13" si="3">IF(F10="","",IF(F10=H10,"0円",F10-H10))</f>
        <v/>
      </c>
      <c r="K10" s="55"/>
      <c r="L10" s="436">
        <f>SUM(J8:J13)</f>
        <v>0</v>
      </c>
      <c r="M10" s="51"/>
      <c r="N10" s="473"/>
      <c r="O10" s="51"/>
      <c r="P10" s="48"/>
      <c r="Q10" s="439"/>
      <c r="R10" s="433"/>
      <c r="S10" s="434"/>
      <c r="T10" s="435"/>
    </row>
    <row r="11" spans="4:20" s="47" customFormat="1" ht="20.7" customHeight="1">
      <c r="D11" s="469"/>
      <c r="E11" s="56" t="s">
        <v>20</v>
      </c>
      <c r="F11" s="57" t="str">
        <f>IF(算出基礎情報!B41=0,"",IF(算出基礎情報!N41=0,"",算出基礎情報!N41))</f>
        <v/>
      </c>
      <c r="G11" s="58" t="str">
        <f t="shared" si="0"/>
        <v/>
      </c>
      <c r="H11" s="57" t="str">
        <f t="shared" si="2"/>
        <v/>
      </c>
      <c r="I11" s="58" t="str">
        <f t="shared" si="1"/>
        <v/>
      </c>
      <c r="J11" s="59" t="str">
        <f t="shared" si="3"/>
        <v/>
      </c>
      <c r="K11" s="60"/>
      <c r="L11" s="437"/>
      <c r="M11" s="56"/>
      <c r="N11" s="473"/>
      <c r="O11" s="56"/>
      <c r="P11" s="48"/>
      <c r="Q11" s="439"/>
      <c r="R11" s="433"/>
      <c r="S11" s="434"/>
      <c r="T11" s="435"/>
    </row>
    <row r="12" spans="4:20" s="47" customFormat="1" ht="20.7" customHeight="1">
      <c r="D12" s="469"/>
      <c r="E12" s="51" t="s">
        <v>21</v>
      </c>
      <c r="F12" s="52" t="str">
        <f>IF(算出基礎情報!B42=0,"",IF(算出基礎情報!N42=0,"",算出基礎情報!N42))</f>
        <v/>
      </c>
      <c r="G12" s="53" t="str">
        <f t="shared" si="0"/>
        <v/>
      </c>
      <c r="H12" s="52" t="str">
        <f t="shared" si="2"/>
        <v/>
      </c>
      <c r="I12" s="53" t="str">
        <f t="shared" si="1"/>
        <v/>
      </c>
      <c r="J12" s="54" t="str">
        <f t="shared" si="3"/>
        <v/>
      </c>
      <c r="K12" s="55"/>
      <c r="L12" s="55"/>
      <c r="M12" s="55"/>
      <c r="N12" s="473"/>
      <c r="O12" s="51"/>
      <c r="P12" s="48"/>
      <c r="Q12" s="439"/>
      <c r="R12" s="433"/>
      <c r="S12" s="434"/>
      <c r="T12" s="435"/>
    </row>
    <row r="13" spans="4:20" s="47" customFormat="1" ht="20.7" customHeight="1">
      <c r="D13" s="469"/>
      <c r="E13" s="62" t="s">
        <v>22</v>
      </c>
      <c r="F13" s="63" t="str">
        <f>IF(算出基礎情報!B43=0,"",IF(算出基礎情報!N43=0,"",算出基礎情報!N43))</f>
        <v/>
      </c>
      <c r="G13" s="64" t="str">
        <f t="shared" si="0"/>
        <v/>
      </c>
      <c r="H13" s="63" t="str">
        <f>IF(F13&lt;=0,"",IF(F13="","",IF(F13&lt;=430000,F13,430000)))</f>
        <v/>
      </c>
      <c r="I13" s="64" t="str">
        <f t="shared" si="1"/>
        <v/>
      </c>
      <c r="J13" s="65" t="str">
        <f t="shared" si="3"/>
        <v/>
      </c>
      <c r="K13" s="66"/>
      <c r="L13" s="66"/>
      <c r="M13" s="66"/>
      <c r="N13" s="474"/>
      <c r="O13" s="62"/>
      <c r="P13" s="48"/>
      <c r="Q13" s="439"/>
      <c r="R13" s="433"/>
      <c r="S13" s="434"/>
      <c r="T13" s="435"/>
    </row>
    <row r="14" spans="4:20" s="47" customFormat="1" ht="10.199999999999999" customHeight="1">
      <c r="D14" s="455"/>
      <c r="E14" s="67"/>
      <c r="F14" s="67"/>
      <c r="G14" s="67"/>
      <c r="H14" s="67"/>
      <c r="I14" s="67"/>
      <c r="J14" s="67"/>
      <c r="K14" s="67"/>
      <c r="L14" s="67"/>
      <c r="M14" s="67"/>
      <c r="N14" s="67"/>
      <c r="O14" s="67"/>
      <c r="P14" s="67"/>
      <c r="Q14" s="67"/>
      <c r="R14" s="68"/>
      <c r="S14" s="69"/>
      <c r="T14" s="70"/>
    </row>
    <row r="15" spans="4:20" s="47" customFormat="1" ht="20.7" customHeight="1">
      <c r="D15" s="454" t="s">
        <v>46</v>
      </c>
      <c r="E15" s="71"/>
      <c r="F15" s="72"/>
      <c r="G15" s="72"/>
      <c r="H15" s="72" t="s">
        <v>47</v>
      </c>
      <c r="I15" s="72"/>
      <c r="J15" s="73">
        <f>算出基礎情報!K5</f>
        <v>30000</v>
      </c>
      <c r="K15" s="74" t="s">
        <v>48</v>
      </c>
      <c r="L15" s="75">
        <f>算出基礎情報!B44</f>
        <v>0</v>
      </c>
      <c r="M15" s="74" t="s">
        <v>32</v>
      </c>
      <c r="N15" s="76">
        <f>J15*L15</f>
        <v>0</v>
      </c>
      <c r="O15" s="72"/>
      <c r="P15" s="45"/>
      <c r="Q15" s="415">
        <f>SUM(N15:N17)</f>
        <v>0</v>
      </c>
      <c r="R15" s="417" t="s">
        <v>14</v>
      </c>
      <c r="S15" s="419" t="s">
        <v>49</v>
      </c>
      <c r="T15" s="420"/>
    </row>
    <row r="16" spans="4:20" s="47" customFormat="1" ht="20.7" customHeight="1">
      <c r="D16" s="469"/>
      <c r="E16" s="77"/>
      <c r="F16" s="440" t="str">
        <f>IF(H16="","","減額：")</f>
        <v>減額：</v>
      </c>
      <c r="G16" s="440"/>
      <c r="H16" s="78">
        <f>IF(算出基礎情報!G61="非該当","",算出基礎情報!G61)</f>
        <v>7</v>
      </c>
      <c r="I16" s="79"/>
      <c r="J16" s="80">
        <f>IF(H16="","",J15*-(H16/10))</f>
        <v>-21000</v>
      </c>
      <c r="K16" s="81" t="str">
        <f>IF(J16="","","×")</f>
        <v>×</v>
      </c>
      <c r="L16" s="82">
        <f>IF(H16="","",L15)</f>
        <v>0</v>
      </c>
      <c r="M16" s="81" t="str">
        <f>IF(H16="","","＝")</f>
        <v>＝</v>
      </c>
      <c r="N16" s="83">
        <f>IF(H16="","",J16*L16)</f>
        <v>0</v>
      </c>
      <c r="O16" s="79"/>
      <c r="P16" s="48"/>
      <c r="Q16" s="439"/>
      <c r="R16" s="433"/>
      <c r="S16" s="434"/>
      <c r="T16" s="435"/>
    </row>
    <row r="17" spans="4:20" s="47" customFormat="1" ht="20.7" customHeight="1">
      <c r="D17" s="455"/>
      <c r="E17" s="84"/>
      <c r="F17" s="468" t="str">
        <f>IF(H17="","","減額：")</f>
        <v/>
      </c>
      <c r="G17" s="468"/>
      <c r="H17" s="67" t="str">
        <f>IF(算出基礎情報!F44&gt;0,"未就学児","")</f>
        <v/>
      </c>
      <c r="I17" s="67"/>
      <c r="J17" s="85" t="str">
        <f>IF(H17="","",IF(J16="",J15*-0.5,J15*(1-H16/10)*-0.5))</f>
        <v/>
      </c>
      <c r="K17" s="86" t="str">
        <f>IF(J17="","","×")</f>
        <v/>
      </c>
      <c r="L17" s="87" t="str">
        <f>IF(H17="","",算出基礎情報!F44)</f>
        <v/>
      </c>
      <c r="M17" s="86" t="str">
        <f>IF(H17="","","＝")</f>
        <v/>
      </c>
      <c r="N17" s="88" t="str">
        <f>IF(H17="","",J17*L17)</f>
        <v/>
      </c>
      <c r="O17" s="67"/>
      <c r="P17" s="67"/>
      <c r="Q17" s="416"/>
      <c r="R17" s="418"/>
      <c r="S17" s="421"/>
      <c r="T17" s="422"/>
    </row>
    <row r="18" spans="4:20" s="47" customFormat="1" ht="20.7" customHeight="1">
      <c r="D18" s="469" t="s">
        <v>50</v>
      </c>
      <c r="E18" s="71"/>
      <c r="F18" s="72"/>
      <c r="G18" s="72"/>
      <c r="H18" s="72" t="s">
        <v>51</v>
      </c>
      <c r="I18" s="72"/>
      <c r="J18" s="73">
        <f>算出基礎情報!M5</f>
        <v>29000</v>
      </c>
      <c r="K18" s="74"/>
      <c r="L18" s="72"/>
      <c r="M18" s="72"/>
      <c r="N18" s="72"/>
      <c r="O18" s="72"/>
      <c r="P18" s="45"/>
      <c r="Q18" s="415">
        <f>IF(L15=0,0,SUM(J18:J19))</f>
        <v>0</v>
      </c>
      <c r="R18" s="417" t="s">
        <v>14</v>
      </c>
      <c r="S18" s="419" t="s">
        <v>52</v>
      </c>
      <c r="T18" s="420"/>
    </row>
    <row r="19" spans="4:20" s="47" customFormat="1" ht="20.7" customHeight="1">
      <c r="D19" s="469"/>
      <c r="E19" s="89"/>
      <c r="F19" s="423" t="str">
        <f>IF(H19="","","減額：")</f>
        <v>減額：</v>
      </c>
      <c r="G19" s="423"/>
      <c r="H19" s="90">
        <f>H16</f>
        <v>7</v>
      </c>
      <c r="I19" s="91"/>
      <c r="J19" s="92">
        <f>IF(H19="","",J18*-(H19/10))</f>
        <v>-20300</v>
      </c>
      <c r="K19" s="93"/>
      <c r="L19" s="91"/>
      <c r="M19" s="91"/>
      <c r="N19" s="91"/>
      <c r="O19" s="91"/>
      <c r="P19" s="67"/>
      <c r="Q19" s="416"/>
      <c r="R19" s="418"/>
      <c r="S19" s="421"/>
      <c r="T19" s="422"/>
    </row>
    <row r="20" spans="4:20" s="47" customFormat="1" ht="37.200000000000003" customHeight="1">
      <c r="D20" s="470" t="s">
        <v>53</v>
      </c>
      <c r="E20" s="471"/>
      <c r="F20" s="472"/>
      <c r="G20" s="427" t="str">
        <f>"賦課限度額（"&amp;算出基礎情報!N5/10000&amp;"万円）"</f>
        <v>賦課限度額（67万円）</v>
      </c>
      <c r="H20" s="428"/>
      <c r="I20" s="428"/>
      <c r="J20" s="94"/>
      <c r="K20" s="94"/>
      <c r="L20" s="429">
        <f>IF(SUM(Q8:Q19)&lt;=算出基礎情報!N5,ROUNDDOWN(Q8+Q15+Q18,-2),算出基礎情報!N5)</f>
        <v>0</v>
      </c>
      <c r="M20" s="429"/>
      <c r="N20" s="430" t="s">
        <v>54</v>
      </c>
      <c r="O20" s="430"/>
      <c r="P20" s="430"/>
      <c r="Q20" s="430"/>
      <c r="R20" s="94"/>
      <c r="S20" s="431" t="s">
        <v>55</v>
      </c>
      <c r="T20" s="432"/>
    </row>
    <row r="21" spans="4:20" ht="10.8" customHeight="1"/>
    <row r="22" spans="4:20" ht="20.7" customHeight="1">
      <c r="D22" s="390"/>
      <c r="J22" s="43"/>
    </row>
    <row r="23" spans="4:20" ht="10.95" customHeight="1">
      <c r="D23" s="390"/>
      <c r="H23" s="44"/>
    </row>
    <row r="24" spans="4:20" ht="20.7" customHeight="1">
      <c r="D24" s="462" t="s">
        <v>56</v>
      </c>
      <c r="E24" s="45"/>
      <c r="F24" s="446" t="s">
        <v>57</v>
      </c>
      <c r="G24" s="45"/>
      <c r="H24" s="45" t="s">
        <v>58</v>
      </c>
      <c r="I24" s="45"/>
      <c r="J24" s="448" t="s">
        <v>273</v>
      </c>
      <c r="K24" s="45"/>
      <c r="L24" s="446" t="s">
        <v>59</v>
      </c>
      <c r="M24" s="45"/>
      <c r="N24" s="446" t="s">
        <v>60</v>
      </c>
      <c r="O24" s="45"/>
      <c r="P24" s="45"/>
      <c r="Q24" s="45"/>
      <c r="R24" s="45"/>
      <c r="S24" s="45"/>
      <c r="T24" s="46"/>
    </row>
    <row r="25" spans="4:20" ht="20.7" customHeight="1">
      <c r="D25" s="467"/>
      <c r="E25" s="48"/>
      <c r="F25" s="447"/>
      <c r="G25" s="48"/>
      <c r="H25" s="48" t="s">
        <v>275</v>
      </c>
      <c r="I25" s="48"/>
      <c r="J25" s="449"/>
      <c r="K25" s="48"/>
      <c r="L25" s="447"/>
      <c r="M25" s="48"/>
      <c r="N25" s="450"/>
      <c r="O25" s="48"/>
      <c r="P25" s="48"/>
      <c r="Q25" s="48"/>
      <c r="R25" s="48"/>
      <c r="S25" s="48"/>
      <c r="T25" s="50"/>
    </row>
    <row r="26" spans="4:20" ht="20.7" customHeight="1">
      <c r="D26" s="467"/>
      <c r="E26" s="51" t="s">
        <v>61</v>
      </c>
      <c r="F26" s="52" t="str">
        <f t="shared" ref="F26:J31" si="4">F8</f>
        <v/>
      </c>
      <c r="G26" s="52" t="str">
        <f t="shared" si="4"/>
        <v/>
      </c>
      <c r="H26" s="52" t="str">
        <f t="shared" si="4"/>
        <v/>
      </c>
      <c r="I26" s="52" t="str">
        <f t="shared" si="4"/>
        <v/>
      </c>
      <c r="J26" s="54" t="str">
        <f t="shared" si="4"/>
        <v/>
      </c>
      <c r="K26" s="55"/>
      <c r="L26" s="55"/>
      <c r="M26" s="55"/>
      <c r="N26" s="451">
        <f>算出基礎情報!J6</f>
        <v>2.8299999999999999E-2</v>
      </c>
      <c r="O26" s="51"/>
      <c r="P26" s="48"/>
      <c r="Q26" s="439">
        <f>IF(L28="",0,ROUNDDOWN(L28*N26,0))</f>
        <v>0</v>
      </c>
      <c r="R26" s="433" t="s">
        <v>14</v>
      </c>
      <c r="S26" s="434" t="s">
        <v>62</v>
      </c>
      <c r="T26" s="435"/>
    </row>
    <row r="27" spans="4:20" ht="20.7" customHeight="1">
      <c r="D27" s="467"/>
      <c r="E27" s="56" t="s">
        <v>63</v>
      </c>
      <c r="F27" s="95" t="str">
        <f t="shared" si="4"/>
        <v/>
      </c>
      <c r="G27" s="60" t="str">
        <f t="shared" si="4"/>
        <v/>
      </c>
      <c r="H27" s="95" t="str">
        <f t="shared" si="4"/>
        <v/>
      </c>
      <c r="I27" s="60" t="str">
        <f t="shared" si="4"/>
        <v/>
      </c>
      <c r="J27" s="96" t="str">
        <f t="shared" si="4"/>
        <v/>
      </c>
      <c r="K27" s="60"/>
      <c r="L27" s="61"/>
      <c r="M27" s="60"/>
      <c r="N27" s="452"/>
      <c r="O27" s="56"/>
      <c r="P27" s="48"/>
      <c r="Q27" s="439"/>
      <c r="R27" s="433"/>
      <c r="S27" s="434"/>
      <c r="T27" s="435"/>
    </row>
    <row r="28" spans="4:20" ht="20.7" customHeight="1">
      <c r="D28" s="467"/>
      <c r="E28" s="51" t="s">
        <v>64</v>
      </c>
      <c r="F28" s="97" t="str">
        <f t="shared" si="4"/>
        <v/>
      </c>
      <c r="G28" s="55" t="str">
        <f t="shared" si="4"/>
        <v/>
      </c>
      <c r="H28" s="97" t="str">
        <f t="shared" si="4"/>
        <v/>
      </c>
      <c r="I28" s="55" t="str">
        <f t="shared" si="4"/>
        <v/>
      </c>
      <c r="J28" s="98" t="str">
        <f t="shared" si="4"/>
        <v/>
      </c>
      <c r="K28" s="55"/>
      <c r="L28" s="436">
        <f>SUM(J26:J31)</f>
        <v>0</v>
      </c>
      <c r="M28" s="51"/>
      <c r="N28" s="452"/>
      <c r="O28" s="51"/>
      <c r="P28" s="48"/>
      <c r="Q28" s="439"/>
      <c r="R28" s="433"/>
      <c r="S28" s="434"/>
      <c r="T28" s="435"/>
    </row>
    <row r="29" spans="4:20" ht="20.7" customHeight="1">
      <c r="D29" s="467"/>
      <c r="E29" s="56" t="s">
        <v>65</v>
      </c>
      <c r="F29" s="95" t="str">
        <f t="shared" si="4"/>
        <v/>
      </c>
      <c r="G29" s="60" t="str">
        <f t="shared" si="4"/>
        <v/>
      </c>
      <c r="H29" s="95" t="str">
        <f t="shared" si="4"/>
        <v/>
      </c>
      <c r="I29" s="60" t="str">
        <f t="shared" si="4"/>
        <v/>
      </c>
      <c r="J29" s="96" t="str">
        <f t="shared" si="4"/>
        <v/>
      </c>
      <c r="K29" s="60"/>
      <c r="L29" s="437"/>
      <c r="M29" s="56"/>
      <c r="N29" s="452"/>
      <c r="O29" s="56"/>
      <c r="P29" s="48"/>
      <c r="Q29" s="439"/>
      <c r="R29" s="433"/>
      <c r="S29" s="434"/>
      <c r="T29" s="435"/>
    </row>
    <row r="30" spans="4:20" ht="20.7" customHeight="1">
      <c r="D30" s="467"/>
      <c r="E30" s="51" t="s">
        <v>66</v>
      </c>
      <c r="F30" s="97" t="str">
        <f t="shared" si="4"/>
        <v/>
      </c>
      <c r="G30" s="55" t="str">
        <f t="shared" si="4"/>
        <v/>
      </c>
      <c r="H30" s="97" t="str">
        <f t="shared" si="4"/>
        <v/>
      </c>
      <c r="I30" s="55" t="str">
        <f t="shared" si="4"/>
        <v/>
      </c>
      <c r="J30" s="98" t="str">
        <f t="shared" si="4"/>
        <v/>
      </c>
      <c r="K30" s="55"/>
      <c r="L30" s="55"/>
      <c r="M30" s="55"/>
      <c r="N30" s="452"/>
      <c r="O30" s="51"/>
      <c r="P30" s="48"/>
      <c r="Q30" s="439"/>
      <c r="R30" s="433"/>
      <c r="S30" s="434"/>
      <c r="T30" s="435"/>
    </row>
    <row r="31" spans="4:20" ht="20.7" customHeight="1">
      <c r="D31" s="467"/>
      <c r="E31" s="62" t="s">
        <v>67</v>
      </c>
      <c r="F31" s="99" t="str">
        <f t="shared" si="4"/>
        <v/>
      </c>
      <c r="G31" s="66" t="str">
        <f t="shared" si="4"/>
        <v/>
      </c>
      <c r="H31" s="99" t="str">
        <f t="shared" si="4"/>
        <v/>
      </c>
      <c r="I31" s="66" t="str">
        <f t="shared" si="4"/>
        <v/>
      </c>
      <c r="J31" s="100" t="str">
        <f t="shared" si="4"/>
        <v/>
      </c>
      <c r="K31" s="66"/>
      <c r="L31" s="66"/>
      <c r="M31" s="66"/>
      <c r="N31" s="453"/>
      <c r="O31" s="62"/>
      <c r="P31" s="48"/>
      <c r="Q31" s="439"/>
      <c r="R31" s="433"/>
      <c r="S31" s="434"/>
      <c r="T31" s="435"/>
    </row>
    <row r="32" spans="4:20" ht="10.199999999999999" customHeight="1">
      <c r="D32" s="463"/>
      <c r="E32" s="67"/>
      <c r="F32" s="67"/>
      <c r="G32" s="67"/>
      <c r="H32" s="67"/>
      <c r="I32" s="67"/>
      <c r="J32" s="67"/>
      <c r="K32" s="67"/>
      <c r="L32" s="67"/>
      <c r="M32" s="67"/>
      <c r="N32" s="67"/>
      <c r="O32" s="67"/>
      <c r="P32" s="67"/>
      <c r="Q32" s="67"/>
      <c r="R32" s="68"/>
      <c r="S32" s="69"/>
      <c r="T32" s="70"/>
    </row>
    <row r="33" spans="4:20" ht="20.7" customHeight="1">
      <c r="D33" s="462" t="s">
        <v>68</v>
      </c>
      <c r="E33" s="71"/>
      <c r="F33" s="72"/>
      <c r="G33" s="72"/>
      <c r="H33" s="72" t="s">
        <v>69</v>
      </c>
      <c r="I33" s="72"/>
      <c r="J33" s="73">
        <f>算出基礎情報!K6</f>
        <v>11000</v>
      </c>
      <c r="K33" s="74" t="s">
        <v>70</v>
      </c>
      <c r="L33" s="75">
        <f>L15</f>
        <v>0</v>
      </c>
      <c r="M33" s="74" t="s">
        <v>71</v>
      </c>
      <c r="N33" s="101">
        <f>J33*L33</f>
        <v>0</v>
      </c>
      <c r="O33" s="72"/>
      <c r="P33" s="45"/>
      <c r="Q33" s="415">
        <f>SUM(N33:N35)</f>
        <v>0</v>
      </c>
      <c r="R33" s="417" t="s">
        <v>14</v>
      </c>
      <c r="S33" s="419" t="s">
        <v>72</v>
      </c>
      <c r="T33" s="420"/>
    </row>
    <row r="34" spans="4:20" ht="20.7" customHeight="1">
      <c r="D34" s="467"/>
      <c r="E34" s="77"/>
      <c r="F34" s="440" t="str">
        <f>IF(H34="","","減額：")</f>
        <v>減額：</v>
      </c>
      <c r="G34" s="440"/>
      <c r="H34" s="78">
        <f>H16</f>
        <v>7</v>
      </c>
      <c r="I34" s="79"/>
      <c r="J34" s="80">
        <f>IF(H34="","",J33*-(H34/10))</f>
        <v>-7699.9999999999991</v>
      </c>
      <c r="K34" s="81" t="str">
        <f>IF(J34="","","×")</f>
        <v>×</v>
      </c>
      <c r="L34" s="82">
        <f>IF(H34="","",L33)</f>
        <v>0</v>
      </c>
      <c r="M34" s="81" t="str">
        <f>IF(H34="","","＝")</f>
        <v>＝</v>
      </c>
      <c r="N34" s="102">
        <f>IF(H34="","",J34*L34)</f>
        <v>0</v>
      </c>
      <c r="O34" s="79"/>
      <c r="P34" s="48"/>
      <c r="Q34" s="439"/>
      <c r="R34" s="433"/>
      <c r="S34" s="434"/>
      <c r="T34" s="435"/>
    </row>
    <row r="35" spans="4:20" ht="20.7" customHeight="1">
      <c r="D35" s="463"/>
      <c r="E35" s="84"/>
      <c r="F35" s="468" t="str">
        <f>IF(H35="","","減額：")</f>
        <v/>
      </c>
      <c r="G35" s="468"/>
      <c r="H35" s="67" t="str">
        <f>H17</f>
        <v/>
      </c>
      <c r="I35" s="67"/>
      <c r="J35" s="85" t="str">
        <f>IF(H35="","",IF(J34="",J33*-0.5,J33*(1-H34/10)*-0.5))</f>
        <v/>
      </c>
      <c r="K35" s="86" t="str">
        <f>IF(J35="","","×")</f>
        <v/>
      </c>
      <c r="L35" s="87" t="str">
        <f>IF(H35="","",算出基礎情報!F44)</f>
        <v/>
      </c>
      <c r="M35" s="86" t="str">
        <f>IF(H35="","","＝")</f>
        <v/>
      </c>
      <c r="N35" s="103" t="str">
        <f>IF(H35="","",J35*L35)</f>
        <v/>
      </c>
      <c r="O35" s="67"/>
      <c r="P35" s="67"/>
      <c r="Q35" s="416"/>
      <c r="R35" s="418"/>
      <c r="S35" s="421"/>
      <c r="T35" s="422"/>
    </row>
    <row r="36" spans="4:20" ht="20.7" customHeight="1">
      <c r="D36" s="462" t="s">
        <v>73</v>
      </c>
      <c r="E36" s="71"/>
      <c r="F36" s="72"/>
      <c r="G36" s="72"/>
      <c r="H36" s="72" t="s">
        <v>74</v>
      </c>
      <c r="I36" s="72"/>
      <c r="J36" s="73">
        <f>算出基礎情報!M6</f>
        <v>11000</v>
      </c>
      <c r="K36" s="74"/>
      <c r="L36" s="72"/>
      <c r="M36" s="72"/>
      <c r="N36" s="72"/>
      <c r="O36" s="72"/>
      <c r="P36" s="45"/>
      <c r="Q36" s="415">
        <f>IF(L33=0,0,SUM(J36:J37))</f>
        <v>0</v>
      </c>
      <c r="R36" s="417" t="s">
        <v>14</v>
      </c>
      <c r="S36" s="419" t="s">
        <v>75</v>
      </c>
      <c r="T36" s="420"/>
    </row>
    <row r="37" spans="4:20" ht="20.7" customHeight="1">
      <c r="D37" s="463"/>
      <c r="E37" s="89"/>
      <c r="F37" s="423" t="str">
        <f>IF(H37="","","減額：")</f>
        <v>減額：</v>
      </c>
      <c r="G37" s="423"/>
      <c r="H37" s="90">
        <f>H16</f>
        <v>7</v>
      </c>
      <c r="I37" s="91"/>
      <c r="J37" s="92">
        <f>IF(H37="","",J36*-(H37/10))</f>
        <v>-7699.9999999999991</v>
      </c>
      <c r="K37" s="91"/>
      <c r="L37" s="91"/>
      <c r="M37" s="91"/>
      <c r="N37" s="91"/>
      <c r="O37" s="91"/>
      <c r="P37" s="67"/>
      <c r="Q37" s="416"/>
      <c r="R37" s="418"/>
      <c r="S37" s="421"/>
      <c r="T37" s="422"/>
    </row>
    <row r="38" spans="4:20" ht="37.200000000000003" customHeight="1">
      <c r="D38" s="464" t="s">
        <v>76</v>
      </c>
      <c r="E38" s="465"/>
      <c r="F38" s="466"/>
      <c r="G38" s="427" t="str">
        <f>"賦課限度額（"&amp;算出基礎情報!N6/10000&amp;"万円）"</f>
        <v>賦課限度額（26万円）</v>
      </c>
      <c r="H38" s="428"/>
      <c r="I38" s="428"/>
      <c r="J38" s="94"/>
      <c r="K38" s="94"/>
      <c r="L38" s="429">
        <f>IF((Q26+Q33+Q36)&lt;=算出基礎情報!N6,ROUNDDOWN(Q26+Q33+Q36,-2),算出基礎情報!N6)</f>
        <v>0</v>
      </c>
      <c r="M38" s="429"/>
      <c r="N38" s="430" t="s">
        <v>77</v>
      </c>
      <c r="O38" s="430"/>
      <c r="P38" s="430"/>
      <c r="Q38" s="430"/>
      <c r="R38" s="94"/>
      <c r="S38" s="431" t="s">
        <v>78</v>
      </c>
      <c r="T38" s="432"/>
    </row>
    <row r="39" spans="4:20" ht="10.8" customHeight="1"/>
    <row r="40" spans="4:20" ht="22.2" customHeight="1">
      <c r="D40" s="390"/>
      <c r="J40" s="43"/>
    </row>
    <row r="41" spans="4:20" ht="11.7" customHeight="1">
      <c r="D41" s="390"/>
      <c r="H41" s="44"/>
    </row>
    <row r="42" spans="4:20" ht="20.7" customHeight="1">
      <c r="D42" s="459" t="s">
        <v>56</v>
      </c>
      <c r="E42" s="45"/>
      <c r="F42" s="446" t="s">
        <v>57</v>
      </c>
      <c r="G42" s="45"/>
      <c r="H42" s="45" t="s">
        <v>58</v>
      </c>
      <c r="I42" s="45"/>
      <c r="J42" s="448" t="s">
        <v>273</v>
      </c>
      <c r="K42" s="45"/>
      <c r="L42" s="446" t="s">
        <v>59</v>
      </c>
      <c r="M42" s="45"/>
      <c r="N42" s="446" t="s">
        <v>60</v>
      </c>
      <c r="O42" s="45"/>
      <c r="P42" s="45"/>
      <c r="Q42" s="45"/>
      <c r="R42" s="45"/>
      <c r="S42" s="45"/>
      <c r="T42" s="46"/>
    </row>
    <row r="43" spans="4:20" ht="20.7" customHeight="1">
      <c r="D43" s="460"/>
      <c r="E43" s="48"/>
      <c r="F43" s="447"/>
      <c r="G43" s="48"/>
      <c r="H43" s="48" t="s">
        <v>275</v>
      </c>
      <c r="I43" s="48"/>
      <c r="J43" s="449"/>
      <c r="K43" s="48"/>
      <c r="L43" s="447"/>
      <c r="M43" s="48"/>
      <c r="N43" s="450"/>
      <c r="O43" s="48"/>
      <c r="P43" s="48"/>
      <c r="Q43" s="48"/>
      <c r="R43" s="48"/>
      <c r="S43" s="48"/>
      <c r="T43" s="50"/>
    </row>
    <row r="44" spans="4:20" ht="20.7" customHeight="1">
      <c r="D44" s="460"/>
      <c r="E44" s="51" t="s">
        <v>61</v>
      </c>
      <c r="F44" s="104" t="str">
        <f>IF(算出基礎情報!D38=0,"",算出基礎情報!N38)</f>
        <v/>
      </c>
      <c r="G44" s="105" t="str">
        <f>IF(F44="","",G8)</f>
        <v/>
      </c>
      <c r="H44" s="106" t="str">
        <f t="shared" ref="H44:H49" si="5">IF(F44="","",H8)</f>
        <v/>
      </c>
      <c r="I44" s="105" t="str">
        <f>IF(F44="","",I8)</f>
        <v/>
      </c>
      <c r="J44" s="107" t="str">
        <f t="shared" ref="J44:J49" si="6">IF(F44="","",J8)</f>
        <v/>
      </c>
      <c r="K44" s="55"/>
      <c r="L44" s="55"/>
      <c r="M44" s="55"/>
      <c r="N44" s="451">
        <f>算出基礎情報!J7</f>
        <v>2.3099999999999999E-2</v>
      </c>
      <c r="O44" s="51"/>
      <c r="P44" s="48"/>
      <c r="Q44" s="439">
        <f>IF(L46="",0,ROUNDDOWN(L46*N44,0))</f>
        <v>0</v>
      </c>
      <c r="R44" s="433" t="s">
        <v>14</v>
      </c>
      <c r="S44" s="434" t="s">
        <v>62</v>
      </c>
      <c r="T44" s="435"/>
    </row>
    <row r="45" spans="4:20" ht="20.7" customHeight="1">
      <c r="D45" s="460"/>
      <c r="E45" s="56" t="s">
        <v>63</v>
      </c>
      <c r="F45" s="95" t="str">
        <f>IF(算出基礎情報!D39=0,"",算出基礎情報!N39)</f>
        <v/>
      </c>
      <c r="G45" s="58" t="str">
        <f t="shared" ref="G45:G49" si="7">IF(F45="","",G9)</f>
        <v/>
      </c>
      <c r="H45" s="99" t="str">
        <f t="shared" si="5"/>
        <v/>
      </c>
      <c r="I45" s="58" t="str">
        <f t="shared" ref="I45:I49" si="8">IF(F45="","",I9)</f>
        <v/>
      </c>
      <c r="J45" s="96" t="str">
        <f t="shared" si="6"/>
        <v/>
      </c>
      <c r="K45" s="60"/>
      <c r="L45" s="61"/>
      <c r="M45" s="60"/>
      <c r="N45" s="452"/>
      <c r="O45" s="56"/>
      <c r="P45" s="48"/>
      <c r="Q45" s="439"/>
      <c r="R45" s="433"/>
      <c r="S45" s="434"/>
      <c r="T45" s="435"/>
    </row>
    <row r="46" spans="4:20" ht="20.7" customHeight="1">
      <c r="D46" s="460"/>
      <c r="E46" s="51" t="s">
        <v>64</v>
      </c>
      <c r="F46" s="106" t="str">
        <f>IF(算出基礎情報!D40=0,"",算出基礎情報!N40)</f>
        <v/>
      </c>
      <c r="G46" s="112" t="str">
        <f t="shared" si="7"/>
        <v/>
      </c>
      <c r="H46" s="106" t="str">
        <f t="shared" si="5"/>
        <v/>
      </c>
      <c r="I46" s="112" t="str">
        <f t="shared" si="8"/>
        <v/>
      </c>
      <c r="J46" s="113" t="str">
        <f t="shared" si="6"/>
        <v/>
      </c>
      <c r="K46" s="55"/>
      <c r="L46" s="436">
        <f>SUM(J44:J49)</f>
        <v>0</v>
      </c>
      <c r="M46" s="51"/>
      <c r="N46" s="452"/>
      <c r="O46" s="51"/>
      <c r="P46" s="48"/>
      <c r="Q46" s="439"/>
      <c r="R46" s="433"/>
      <c r="S46" s="434"/>
      <c r="T46" s="435"/>
    </row>
    <row r="47" spans="4:20" ht="20.7" customHeight="1">
      <c r="D47" s="460"/>
      <c r="E47" s="56" t="s">
        <v>65</v>
      </c>
      <c r="F47" s="108" t="str">
        <f>IF(算出基礎情報!D41=0,"",算出基礎情報!N41)</f>
        <v/>
      </c>
      <c r="G47" s="109" t="str">
        <f t="shared" si="7"/>
        <v/>
      </c>
      <c r="H47" s="108" t="str">
        <f t="shared" si="5"/>
        <v/>
      </c>
      <c r="I47" s="109" t="str">
        <f t="shared" si="8"/>
        <v/>
      </c>
      <c r="J47" s="111" t="str">
        <f t="shared" si="6"/>
        <v/>
      </c>
      <c r="K47" s="60"/>
      <c r="L47" s="437"/>
      <c r="M47" s="56"/>
      <c r="N47" s="452"/>
      <c r="O47" s="56"/>
      <c r="P47" s="48"/>
      <c r="Q47" s="439"/>
      <c r="R47" s="433"/>
      <c r="S47" s="434"/>
      <c r="T47" s="435"/>
    </row>
    <row r="48" spans="4:20" ht="20.7" customHeight="1">
      <c r="D48" s="460"/>
      <c r="E48" s="51" t="s">
        <v>66</v>
      </c>
      <c r="F48" s="106" t="str">
        <f>IF(算出基礎情報!D42=0,"",算出基礎情報!N42)</f>
        <v/>
      </c>
      <c r="G48" s="112" t="str">
        <f t="shared" si="7"/>
        <v/>
      </c>
      <c r="H48" s="106" t="str">
        <f t="shared" si="5"/>
        <v/>
      </c>
      <c r="I48" s="112" t="str">
        <f t="shared" si="8"/>
        <v/>
      </c>
      <c r="J48" s="113" t="str">
        <f t="shared" si="6"/>
        <v/>
      </c>
      <c r="K48" s="55"/>
      <c r="L48" s="55"/>
      <c r="M48" s="55"/>
      <c r="N48" s="452"/>
      <c r="O48" s="51"/>
      <c r="P48" s="48"/>
      <c r="Q48" s="439"/>
      <c r="R48" s="433"/>
      <c r="S48" s="434"/>
      <c r="T48" s="435"/>
    </row>
    <row r="49" spans="4:20" ht="20.7" customHeight="1">
      <c r="D49" s="460"/>
      <c r="E49" s="62" t="s">
        <v>67</v>
      </c>
      <c r="F49" s="110" t="str">
        <f>IF(算出基礎情報!D43=0,"",算出基礎情報!N43)</f>
        <v/>
      </c>
      <c r="G49" s="114" t="str">
        <f t="shared" si="7"/>
        <v/>
      </c>
      <c r="H49" s="110" t="str">
        <f t="shared" si="5"/>
        <v/>
      </c>
      <c r="I49" s="114" t="str">
        <f t="shared" si="8"/>
        <v/>
      </c>
      <c r="J49" s="115" t="str">
        <f t="shared" si="6"/>
        <v/>
      </c>
      <c r="K49" s="66"/>
      <c r="L49" s="66"/>
      <c r="M49" s="66"/>
      <c r="N49" s="453"/>
      <c r="O49" s="62"/>
      <c r="P49" s="48"/>
      <c r="Q49" s="439"/>
      <c r="R49" s="433"/>
      <c r="S49" s="434"/>
      <c r="T49" s="435"/>
    </row>
    <row r="50" spans="4:20" ht="10.199999999999999" customHeight="1">
      <c r="D50" s="461"/>
      <c r="E50" s="67"/>
      <c r="F50" s="67"/>
      <c r="G50" s="67"/>
      <c r="H50" s="67"/>
      <c r="I50" s="67"/>
      <c r="J50" s="67"/>
      <c r="K50" s="67"/>
      <c r="L50" s="67"/>
      <c r="M50" s="67"/>
      <c r="N50" s="67"/>
      <c r="O50" s="67"/>
      <c r="P50" s="67"/>
      <c r="Q50" s="67"/>
      <c r="R50" s="68"/>
      <c r="S50" s="69"/>
      <c r="T50" s="70"/>
    </row>
    <row r="51" spans="4:20" ht="20.7" customHeight="1">
      <c r="D51" s="459" t="s">
        <v>79</v>
      </c>
      <c r="E51" s="71"/>
      <c r="F51" s="72"/>
      <c r="G51" s="72"/>
      <c r="H51" s="72" t="s">
        <v>69</v>
      </c>
      <c r="I51" s="72"/>
      <c r="J51" s="73">
        <f>算出基礎情報!K7</f>
        <v>18000</v>
      </c>
      <c r="K51" s="74" t="s">
        <v>70</v>
      </c>
      <c r="L51" s="75">
        <f>算出基礎情報!D44</f>
        <v>0</v>
      </c>
      <c r="M51" s="74" t="s">
        <v>71</v>
      </c>
      <c r="N51" s="76">
        <f>J51*L51</f>
        <v>0</v>
      </c>
      <c r="O51" s="72"/>
      <c r="P51" s="45"/>
      <c r="Q51" s="415">
        <f>SUM(N51:N53)</f>
        <v>0</v>
      </c>
      <c r="R51" s="417" t="s">
        <v>14</v>
      </c>
      <c r="S51" s="419" t="s">
        <v>72</v>
      </c>
      <c r="T51" s="420"/>
    </row>
    <row r="52" spans="4:20" ht="20.7" customHeight="1">
      <c r="D52" s="460"/>
      <c r="E52" s="77"/>
      <c r="F52" s="440" t="str">
        <f>IF(H52="","","減額：")</f>
        <v>減額：</v>
      </c>
      <c r="G52" s="440"/>
      <c r="H52" s="78">
        <f>H16</f>
        <v>7</v>
      </c>
      <c r="I52" s="79"/>
      <c r="J52" s="80">
        <f>IF(H52="","",J51*-(H52/10))</f>
        <v>-12600</v>
      </c>
      <c r="K52" s="81" t="str">
        <f>IF(J52="","","×")</f>
        <v>×</v>
      </c>
      <c r="L52" s="82">
        <f>IF(H52="","",L51)</f>
        <v>0</v>
      </c>
      <c r="M52" s="81" t="str">
        <f>IF(H52="","","＝")</f>
        <v>＝</v>
      </c>
      <c r="N52" s="83">
        <f>IF(H52="","",J52*L52)</f>
        <v>0</v>
      </c>
      <c r="O52" s="79"/>
      <c r="P52" s="48"/>
      <c r="Q52" s="439"/>
      <c r="R52" s="433"/>
      <c r="S52" s="434"/>
      <c r="T52" s="435"/>
    </row>
    <row r="53" spans="4:20" ht="20.7" customHeight="1">
      <c r="D53" s="461"/>
      <c r="E53" s="84"/>
      <c r="F53" s="67"/>
      <c r="G53" s="67"/>
      <c r="H53" s="67"/>
      <c r="I53" s="67"/>
      <c r="J53" s="85"/>
      <c r="K53" s="86"/>
      <c r="L53" s="67"/>
      <c r="M53" s="67"/>
      <c r="N53" s="67"/>
      <c r="O53" s="67"/>
      <c r="P53" s="67"/>
      <c r="Q53" s="416"/>
      <c r="R53" s="418"/>
      <c r="S53" s="421"/>
      <c r="T53" s="422"/>
    </row>
    <row r="54" spans="4:20" ht="20.7" hidden="1" customHeight="1">
      <c r="D54" s="454" t="s">
        <v>80</v>
      </c>
      <c r="E54" s="71"/>
      <c r="F54" s="72"/>
      <c r="G54" s="72"/>
      <c r="H54" s="72"/>
      <c r="I54" s="72"/>
      <c r="J54" s="73"/>
      <c r="K54" s="72"/>
      <c r="L54" s="72"/>
      <c r="M54" s="72"/>
      <c r="N54" s="72"/>
      <c r="O54" s="72"/>
      <c r="P54" s="45"/>
      <c r="Q54" s="415">
        <f>IF(L51=0,0,J54+J55)</f>
        <v>0</v>
      </c>
      <c r="R54" s="417" t="s">
        <v>14</v>
      </c>
      <c r="S54" s="419" t="s">
        <v>75</v>
      </c>
      <c r="T54" s="420"/>
    </row>
    <row r="55" spans="4:20" ht="20.7" hidden="1" customHeight="1">
      <c r="D55" s="455"/>
      <c r="E55" s="89"/>
      <c r="F55" s="91"/>
      <c r="G55" s="91"/>
      <c r="H55" s="91"/>
      <c r="I55" s="91"/>
      <c r="J55" s="92"/>
      <c r="K55" s="91"/>
      <c r="L55" s="91"/>
      <c r="M55" s="91"/>
      <c r="N55" s="91"/>
      <c r="O55" s="91"/>
      <c r="P55" s="67"/>
      <c r="Q55" s="416"/>
      <c r="R55" s="418"/>
      <c r="S55" s="421"/>
      <c r="T55" s="422"/>
    </row>
    <row r="56" spans="4:20" ht="37.200000000000003" customHeight="1">
      <c r="D56" s="456" t="s">
        <v>81</v>
      </c>
      <c r="E56" s="457"/>
      <c r="F56" s="458"/>
      <c r="G56" s="427" t="str">
        <f>"賦課限度額（"&amp;算出基礎情報!N7/10000&amp;"万円）"</f>
        <v>賦課限度額（17万円）</v>
      </c>
      <c r="H56" s="428"/>
      <c r="I56" s="428"/>
      <c r="J56" s="94"/>
      <c r="K56" s="94"/>
      <c r="L56" s="429">
        <f>IF(SUM(Q44:Q55)&lt;=算出基礎情報!N7,ROUNDDOWN(Q44+Q51+Q54,-2),算出基礎情報!N7)</f>
        <v>0</v>
      </c>
      <c r="M56" s="429"/>
      <c r="N56" s="430" t="s">
        <v>77</v>
      </c>
      <c r="O56" s="430"/>
      <c r="P56" s="430"/>
      <c r="Q56" s="430"/>
      <c r="R56" s="94"/>
      <c r="S56" s="431" t="s">
        <v>82</v>
      </c>
      <c r="T56" s="432"/>
    </row>
    <row r="57" spans="4:20" ht="9.6" customHeight="1"/>
    <row r="58" spans="4:20" ht="22.2" customHeight="1">
      <c r="D58" s="390"/>
      <c r="J58" s="43"/>
    </row>
    <row r="59" spans="4:20" ht="9.6" customHeight="1">
      <c r="D59" s="390"/>
      <c r="H59" s="44"/>
    </row>
    <row r="60" spans="4:20" ht="20.7" customHeight="1">
      <c r="D60" s="413" t="s">
        <v>56</v>
      </c>
      <c r="E60" s="45"/>
      <c r="F60" s="446" t="s">
        <v>57</v>
      </c>
      <c r="G60" s="45"/>
      <c r="H60" s="45" t="s">
        <v>58</v>
      </c>
      <c r="I60" s="45"/>
      <c r="J60" s="448" t="s">
        <v>273</v>
      </c>
      <c r="K60" s="45"/>
      <c r="L60" s="446" t="s">
        <v>59</v>
      </c>
      <c r="M60" s="45"/>
      <c r="N60" s="446" t="s">
        <v>60</v>
      </c>
      <c r="O60" s="45"/>
      <c r="P60" s="45"/>
      <c r="Q60" s="45"/>
      <c r="R60" s="45"/>
      <c r="S60" s="45"/>
      <c r="T60" s="46"/>
    </row>
    <row r="61" spans="4:20" ht="20.7" customHeight="1">
      <c r="D61" s="438"/>
      <c r="E61" s="48"/>
      <c r="F61" s="447"/>
      <c r="G61" s="48"/>
      <c r="H61" s="48" t="s">
        <v>275</v>
      </c>
      <c r="I61" s="48"/>
      <c r="J61" s="449"/>
      <c r="K61" s="48"/>
      <c r="L61" s="447"/>
      <c r="M61" s="48"/>
      <c r="N61" s="450"/>
      <c r="O61" s="48"/>
      <c r="P61" s="48"/>
      <c r="Q61" s="48"/>
      <c r="R61" s="48"/>
      <c r="S61" s="48"/>
      <c r="T61" s="50"/>
    </row>
    <row r="62" spans="4:20" ht="20.7" customHeight="1">
      <c r="D62" s="438"/>
      <c r="E62" s="51" t="s">
        <v>61</v>
      </c>
      <c r="F62" s="52" t="str">
        <f>F8</f>
        <v/>
      </c>
      <c r="G62" s="52" t="str">
        <f t="shared" ref="G62:J62" si="9">G8</f>
        <v/>
      </c>
      <c r="H62" s="52" t="str">
        <f t="shared" si="9"/>
        <v/>
      </c>
      <c r="I62" s="52" t="str">
        <f t="shared" si="9"/>
        <v/>
      </c>
      <c r="J62" s="54" t="str">
        <f t="shared" si="9"/>
        <v/>
      </c>
      <c r="K62" s="55"/>
      <c r="L62" s="55"/>
      <c r="M62" s="55"/>
      <c r="N62" s="451">
        <f>算出基礎情報!J8</f>
        <v>2.7000000000000001E-3</v>
      </c>
      <c r="O62" s="51"/>
      <c r="P62" s="48"/>
      <c r="Q62" s="439">
        <f>IF(L64="",0,ROUNDDOWN(L64*N62,0))</f>
        <v>0</v>
      </c>
      <c r="R62" s="433" t="s">
        <v>14</v>
      </c>
      <c r="S62" s="434" t="s">
        <v>62</v>
      </c>
      <c r="T62" s="435"/>
    </row>
    <row r="63" spans="4:20" ht="20.7" customHeight="1">
      <c r="D63" s="438"/>
      <c r="E63" s="56" t="s">
        <v>63</v>
      </c>
      <c r="F63" s="95" t="str">
        <f t="shared" ref="F63:J67" si="10">F9</f>
        <v/>
      </c>
      <c r="G63" s="58" t="str">
        <f t="shared" si="10"/>
        <v/>
      </c>
      <c r="H63" s="99" t="str">
        <f t="shared" si="10"/>
        <v/>
      </c>
      <c r="I63" s="58" t="str">
        <f t="shared" si="10"/>
        <v/>
      </c>
      <c r="J63" s="96" t="str">
        <f t="shared" si="10"/>
        <v/>
      </c>
      <c r="K63" s="60"/>
      <c r="L63" s="61"/>
      <c r="M63" s="60"/>
      <c r="N63" s="452"/>
      <c r="O63" s="56"/>
      <c r="P63" s="48"/>
      <c r="Q63" s="439"/>
      <c r="R63" s="433"/>
      <c r="S63" s="434"/>
      <c r="T63" s="435"/>
    </row>
    <row r="64" spans="4:20" ht="20.7" customHeight="1">
      <c r="D64" s="438"/>
      <c r="E64" s="51" t="s">
        <v>64</v>
      </c>
      <c r="F64" s="97" t="str">
        <f t="shared" si="10"/>
        <v/>
      </c>
      <c r="G64" s="53" t="str">
        <f t="shared" si="10"/>
        <v/>
      </c>
      <c r="H64" s="97" t="str">
        <f t="shared" si="10"/>
        <v/>
      </c>
      <c r="I64" s="53" t="str">
        <f t="shared" si="10"/>
        <v/>
      </c>
      <c r="J64" s="98" t="str">
        <f t="shared" si="10"/>
        <v/>
      </c>
      <c r="K64" s="55"/>
      <c r="L64" s="436">
        <f>SUM(J62:J67)</f>
        <v>0</v>
      </c>
      <c r="M64" s="51"/>
      <c r="N64" s="452"/>
      <c r="O64" s="51"/>
      <c r="P64" s="48"/>
      <c r="Q64" s="439"/>
      <c r="R64" s="433"/>
      <c r="S64" s="434"/>
      <c r="T64" s="435"/>
    </row>
    <row r="65" spans="4:20" ht="20.7" customHeight="1">
      <c r="D65" s="438"/>
      <c r="E65" s="56" t="s">
        <v>65</v>
      </c>
      <c r="F65" s="95" t="str">
        <f t="shared" si="10"/>
        <v/>
      </c>
      <c r="G65" s="58" t="str">
        <f t="shared" si="10"/>
        <v/>
      </c>
      <c r="H65" s="95" t="str">
        <f t="shared" si="10"/>
        <v/>
      </c>
      <c r="I65" s="58" t="str">
        <f t="shared" si="10"/>
        <v/>
      </c>
      <c r="J65" s="96" t="str">
        <f t="shared" si="10"/>
        <v/>
      </c>
      <c r="K65" s="60"/>
      <c r="L65" s="437"/>
      <c r="M65" s="56"/>
      <c r="N65" s="452"/>
      <c r="O65" s="56"/>
      <c r="P65" s="48"/>
      <c r="Q65" s="439"/>
      <c r="R65" s="433"/>
      <c r="S65" s="434"/>
      <c r="T65" s="435"/>
    </row>
    <row r="66" spans="4:20" ht="20.7" customHeight="1">
      <c r="D66" s="438"/>
      <c r="E66" s="51" t="s">
        <v>66</v>
      </c>
      <c r="F66" s="97" t="str">
        <f t="shared" si="10"/>
        <v/>
      </c>
      <c r="G66" s="53" t="str">
        <f t="shared" si="10"/>
        <v/>
      </c>
      <c r="H66" s="97" t="str">
        <f t="shared" si="10"/>
        <v/>
      </c>
      <c r="I66" s="53" t="str">
        <f t="shared" si="10"/>
        <v/>
      </c>
      <c r="J66" s="98" t="str">
        <f t="shared" si="10"/>
        <v/>
      </c>
      <c r="K66" s="55"/>
      <c r="L66" s="55"/>
      <c r="M66" s="55"/>
      <c r="N66" s="452"/>
      <c r="O66" s="51"/>
      <c r="P66" s="48"/>
      <c r="Q66" s="439"/>
      <c r="R66" s="433"/>
      <c r="S66" s="434"/>
      <c r="T66" s="435"/>
    </row>
    <row r="67" spans="4:20" ht="20.7" customHeight="1">
      <c r="D67" s="438"/>
      <c r="E67" s="62" t="s">
        <v>67</v>
      </c>
      <c r="F67" s="99" t="str">
        <f t="shared" si="10"/>
        <v/>
      </c>
      <c r="G67" s="64" t="str">
        <f t="shared" si="10"/>
        <v/>
      </c>
      <c r="H67" s="99" t="str">
        <f t="shared" si="10"/>
        <v/>
      </c>
      <c r="I67" s="64" t="str">
        <f t="shared" si="10"/>
        <v/>
      </c>
      <c r="J67" s="100" t="str">
        <f t="shared" si="10"/>
        <v/>
      </c>
      <c r="K67" s="66"/>
      <c r="L67" s="66"/>
      <c r="M67" s="66"/>
      <c r="N67" s="453"/>
      <c r="O67" s="62"/>
      <c r="P67" s="48"/>
      <c r="Q67" s="439"/>
      <c r="R67" s="433"/>
      <c r="S67" s="434"/>
      <c r="T67" s="435"/>
    </row>
    <row r="68" spans="4:20" ht="10.199999999999999" customHeight="1">
      <c r="D68" s="414"/>
      <c r="E68" s="67"/>
      <c r="F68" s="67"/>
      <c r="G68" s="67"/>
      <c r="H68" s="67"/>
      <c r="I68" s="67"/>
      <c r="J68" s="67"/>
      <c r="K68" s="67"/>
      <c r="L68" s="67"/>
      <c r="M68" s="67"/>
      <c r="N68" s="67"/>
      <c r="O68" s="67"/>
      <c r="P68" s="67"/>
      <c r="Q68" s="67"/>
      <c r="R68" s="68"/>
      <c r="S68" s="69"/>
      <c r="T68" s="70"/>
    </row>
    <row r="69" spans="4:20" ht="20.7" customHeight="1">
      <c r="D69" s="413" t="s">
        <v>68</v>
      </c>
      <c r="E69" s="71"/>
      <c r="F69" s="72"/>
      <c r="G69" s="72"/>
      <c r="H69" s="72" t="s">
        <v>69</v>
      </c>
      <c r="I69" s="72"/>
      <c r="J69" s="73">
        <f>算出基礎情報!K8+算出基礎情報!L8</f>
        <v>1000</v>
      </c>
      <c r="K69" s="74" t="s">
        <v>70</v>
      </c>
      <c r="L69" s="75">
        <f>算出基礎情報!E44</f>
        <v>0</v>
      </c>
      <c r="M69" s="74" t="s">
        <v>71</v>
      </c>
      <c r="N69" s="76">
        <f>J69*L69</f>
        <v>0</v>
      </c>
      <c r="O69" s="72"/>
      <c r="P69" s="45"/>
      <c r="Q69" s="415">
        <f>SUM(N69:N70)</f>
        <v>0</v>
      </c>
      <c r="R69" s="417" t="s">
        <v>14</v>
      </c>
      <c r="S69" s="419" t="s">
        <v>72</v>
      </c>
      <c r="T69" s="420"/>
    </row>
    <row r="70" spans="4:20" ht="20.7" customHeight="1">
      <c r="D70" s="438"/>
      <c r="E70" s="77"/>
      <c r="F70" s="440" t="str">
        <f>IF(H70="","","減額：")</f>
        <v>減額：</v>
      </c>
      <c r="G70" s="440"/>
      <c r="H70" s="78">
        <f>H16</f>
        <v>7</v>
      </c>
      <c r="I70" s="79"/>
      <c r="J70" s="80">
        <f>IF(H70="","",J69*-(H70/10))</f>
        <v>-700</v>
      </c>
      <c r="K70" s="81" t="str">
        <f>IF(J70="","","×")</f>
        <v>×</v>
      </c>
      <c r="L70" s="82">
        <f>IF(H70="","",L69)</f>
        <v>0</v>
      </c>
      <c r="M70" s="81" t="str">
        <f>IF(H70="","","＝")</f>
        <v>＝</v>
      </c>
      <c r="N70" s="83">
        <f>IF(H70="","",J70*L70)</f>
        <v>0</v>
      </c>
      <c r="O70" s="79"/>
      <c r="P70" s="48"/>
      <c r="Q70" s="439"/>
      <c r="R70" s="433"/>
      <c r="S70" s="434"/>
      <c r="T70" s="435"/>
    </row>
    <row r="71" spans="4:20" ht="20.7" customHeight="1">
      <c r="D71" s="413" t="s">
        <v>73</v>
      </c>
      <c r="E71" s="71"/>
      <c r="F71" s="72"/>
      <c r="G71" s="72"/>
      <c r="H71" s="72" t="s">
        <v>74</v>
      </c>
      <c r="I71" s="72"/>
      <c r="J71" s="73">
        <f>算出基礎情報!M8</f>
        <v>1000</v>
      </c>
      <c r="K71" s="74"/>
      <c r="L71" s="72"/>
      <c r="M71" s="72"/>
      <c r="N71" s="72"/>
      <c r="O71" s="72"/>
      <c r="P71" s="45"/>
      <c r="Q71" s="415">
        <f>IF(L69=0,0,SUM(J71:J72))</f>
        <v>0</v>
      </c>
      <c r="R71" s="417" t="s">
        <v>14</v>
      </c>
      <c r="S71" s="419" t="s">
        <v>75</v>
      </c>
      <c r="T71" s="420"/>
    </row>
    <row r="72" spans="4:20" ht="20.7" customHeight="1">
      <c r="D72" s="414"/>
      <c r="E72" s="89"/>
      <c r="F72" s="423" t="str">
        <f>IF(H72="","","減額：")</f>
        <v>減額：</v>
      </c>
      <c r="G72" s="423"/>
      <c r="H72" s="90">
        <f>H19</f>
        <v>7</v>
      </c>
      <c r="I72" s="91"/>
      <c r="J72" s="92">
        <f>IF(H72="","",J71*-(H72/10))</f>
        <v>-700</v>
      </c>
      <c r="K72" s="91"/>
      <c r="L72" s="91"/>
      <c r="M72" s="91"/>
      <c r="N72" s="91"/>
      <c r="O72" s="91"/>
      <c r="P72" s="67"/>
      <c r="Q72" s="416"/>
      <c r="R72" s="418"/>
      <c r="S72" s="421"/>
      <c r="T72" s="422"/>
    </row>
    <row r="73" spans="4:20" ht="37.200000000000003" customHeight="1">
      <c r="D73" s="424" t="s">
        <v>83</v>
      </c>
      <c r="E73" s="425"/>
      <c r="F73" s="426"/>
      <c r="G73" s="427" t="str">
        <f>"賦課限度額（"&amp;算出基礎情報!N8/10000&amp;"万円）"</f>
        <v>賦課限度額（3万円）</v>
      </c>
      <c r="H73" s="428"/>
      <c r="I73" s="428"/>
      <c r="J73" s="94"/>
      <c r="K73" s="94"/>
      <c r="L73" s="429">
        <f>IF(SUM(Q62:Q72)&lt;=算出基礎情報!N8,ROUNDDOWN(Q62+Q69+Q71,-2),算出基礎情報!N8)</f>
        <v>0</v>
      </c>
      <c r="M73" s="429"/>
      <c r="N73" s="430" t="s">
        <v>77</v>
      </c>
      <c r="O73" s="430"/>
      <c r="P73" s="430"/>
      <c r="Q73" s="430"/>
      <c r="R73" s="94"/>
      <c r="S73" s="431" t="s">
        <v>84</v>
      </c>
      <c r="T73" s="432"/>
    </row>
    <row r="74" spans="4:20" ht="15.45" customHeight="1"/>
    <row r="75" spans="4:20" ht="35.700000000000003" customHeight="1">
      <c r="J75" s="441" t="s">
        <v>85</v>
      </c>
      <c r="K75" s="442"/>
      <c r="L75" s="442"/>
      <c r="M75" s="442"/>
      <c r="N75" s="442"/>
      <c r="O75" s="442"/>
      <c r="P75" s="442"/>
      <c r="Q75" s="443">
        <f>L20+L38+L56+L73</f>
        <v>0</v>
      </c>
      <c r="R75" s="444"/>
      <c r="S75" s="444"/>
      <c r="T75" s="445"/>
    </row>
    <row r="76" spans="4:20" ht="9.4499999999999993" customHeight="1"/>
    <row r="77" spans="4:20" ht="35.700000000000003" customHeight="1">
      <c r="J77" s="409" t="s">
        <v>86</v>
      </c>
      <c r="K77" s="410"/>
      <c r="L77" s="410"/>
      <c r="M77" s="410"/>
      <c r="N77" s="410"/>
      <c r="O77" s="410"/>
      <c r="P77" s="410"/>
      <c r="Q77" s="411">
        <f>ROUNDDOWN(Q75/12,0)</f>
        <v>0</v>
      </c>
      <c r="R77" s="411"/>
      <c r="S77" s="411"/>
      <c r="T77" s="412"/>
    </row>
    <row r="78" spans="4:20" ht="12" customHeight="1"/>
    <row r="79" spans="4:20" ht="9.4499999999999993" customHeight="1"/>
  </sheetData>
  <sheetProtection algorithmName="SHA-512" hashValue="Le1eOh3JKCSJxyg5GdtND/wHXLl9wnh/alqnF1dBBMFOTUV7wlZqI6V8ZRuzNNyz1fxUzklebzHJEmFlrQrReg==" saltValue="hXRAKKbCq//S/dEoeA1zbQ==" spinCount="100000" sheet="1" selectLockedCells="1"/>
  <mergeCells count="109">
    <mergeCell ref="D4:D5"/>
    <mergeCell ref="D6:D14"/>
    <mergeCell ref="F6:F7"/>
    <mergeCell ref="J6:J7"/>
    <mergeCell ref="L6:L7"/>
    <mergeCell ref="N6:N7"/>
    <mergeCell ref="N8:N13"/>
    <mergeCell ref="R18:R19"/>
    <mergeCell ref="S18:T19"/>
    <mergeCell ref="F19:G19"/>
    <mergeCell ref="S20:T20"/>
    <mergeCell ref="Q8:Q13"/>
    <mergeCell ref="R8:R13"/>
    <mergeCell ref="S8:T13"/>
    <mergeCell ref="L10:L11"/>
    <mergeCell ref="D15:D17"/>
    <mergeCell ref="Q15:Q17"/>
    <mergeCell ref="R15:R17"/>
    <mergeCell ref="S15:T17"/>
    <mergeCell ref="F16:G16"/>
    <mergeCell ref="F17:G17"/>
    <mergeCell ref="D22:D23"/>
    <mergeCell ref="D24:D32"/>
    <mergeCell ref="F24:F25"/>
    <mergeCell ref="J24:J25"/>
    <mergeCell ref="L24:L25"/>
    <mergeCell ref="N24:N25"/>
    <mergeCell ref="N26:N31"/>
    <mergeCell ref="D18:D19"/>
    <mergeCell ref="Q18:Q19"/>
    <mergeCell ref="D20:F20"/>
    <mergeCell ref="G20:I20"/>
    <mergeCell ref="L20:M20"/>
    <mergeCell ref="N20:Q20"/>
    <mergeCell ref="R36:R37"/>
    <mergeCell ref="S36:T37"/>
    <mergeCell ref="F37:G37"/>
    <mergeCell ref="D38:F38"/>
    <mergeCell ref="G38:I38"/>
    <mergeCell ref="L38:M38"/>
    <mergeCell ref="N38:Q38"/>
    <mergeCell ref="S38:T38"/>
    <mergeCell ref="Q26:Q31"/>
    <mergeCell ref="R26:R31"/>
    <mergeCell ref="S26:T31"/>
    <mergeCell ref="L28:L29"/>
    <mergeCell ref="D33:D35"/>
    <mergeCell ref="Q33:Q35"/>
    <mergeCell ref="R33:R35"/>
    <mergeCell ref="S33:T35"/>
    <mergeCell ref="F34:G34"/>
    <mergeCell ref="F35:G35"/>
    <mergeCell ref="D40:D41"/>
    <mergeCell ref="D42:D50"/>
    <mergeCell ref="F42:F43"/>
    <mergeCell ref="J42:J43"/>
    <mergeCell ref="L42:L43"/>
    <mergeCell ref="N42:N43"/>
    <mergeCell ref="N44:N49"/>
    <mergeCell ref="D36:D37"/>
    <mergeCell ref="Q36:Q37"/>
    <mergeCell ref="R54:R55"/>
    <mergeCell ref="S54:T55"/>
    <mergeCell ref="D56:F56"/>
    <mergeCell ref="G56:I56"/>
    <mergeCell ref="L56:M56"/>
    <mergeCell ref="N56:Q56"/>
    <mergeCell ref="S56:T56"/>
    <mergeCell ref="Q44:Q49"/>
    <mergeCell ref="R44:R49"/>
    <mergeCell ref="S44:T49"/>
    <mergeCell ref="L46:L47"/>
    <mergeCell ref="D51:D53"/>
    <mergeCell ref="Q51:Q53"/>
    <mergeCell ref="R51:R53"/>
    <mergeCell ref="S51:T53"/>
    <mergeCell ref="F52:G52"/>
    <mergeCell ref="D58:D59"/>
    <mergeCell ref="D60:D68"/>
    <mergeCell ref="F60:F61"/>
    <mergeCell ref="J60:J61"/>
    <mergeCell ref="L60:L61"/>
    <mergeCell ref="N60:N61"/>
    <mergeCell ref="N62:N67"/>
    <mergeCell ref="D54:D55"/>
    <mergeCell ref="Q54:Q55"/>
    <mergeCell ref="Q62:Q67"/>
    <mergeCell ref="R62:R67"/>
    <mergeCell ref="S62:T67"/>
    <mergeCell ref="L64:L65"/>
    <mergeCell ref="D69:D70"/>
    <mergeCell ref="Q69:Q70"/>
    <mergeCell ref="R69:R70"/>
    <mergeCell ref="S69:T70"/>
    <mergeCell ref="F70:G70"/>
    <mergeCell ref="J75:P75"/>
    <mergeCell ref="Q75:T75"/>
    <mergeCell ref="J77:P77"/>
    <mergeCell ref="Q77:T77"/>
    <mergeCell ref="D71:D72"/>
    <mergeCell ref="Q71:Q72"/>
    <mergeCell ref="R71:R72"/>
    <mergeCell ref="S71:T72"/>
    <mergeCell ref="F72:G72"/>
    <mergeCell ref="D73:F73"/>
    <mergeCell ref="G73:I73"/>
    <mergeCell ref="L73:M73"/>
    <mergeCell ref="N73:Q73"/>
    <mergeCell ref="S73:T73"/>
  </mergeCells>
  <phoneticPr fontId="4"/>
  <pageMargins left="0.70866141732283472" right="0.31496062992125984" top="0.39370078740157483" bottom="0.35433070866141736" header="0.31496062992125984" footer="0.31496062992125984"/>
  <pageSetup paperSize="9"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C4B79-E468-4FF4-B5E7-24D389AA9605}">
  <dimension ref="A1:T81"/>
  <sheetViews>
    <sheetView showGridLines="0" view="pageBreakPreview" topLeftCell="A19" zoomScale="85" zoomScaleNormal="70" zoomScaleSheetLayoutView="85" workbookViewId="0">
      <selection activeCell="A2" sqref="A2:D2"/>
    </sheetView>
  </sheetViews>
  <sheetFormatPr defaultColWidth="10.5" defaultRowHeight="12"/>
  <cols>
    <col min="1" max="1" width="8.8984375" style="36" customWidth="1"/>
    <col min="2" max="20" width="9.69921875" style="36" customWidth="1"/>
    <col min="21" max="21" width="10.5" style="36"/>
    <col min="22" max="22" width="4" style="36" customWidth="1"/>
    <col min="23" max="16384" width="10.5" style="36"/>
  </cols>
  <sheetData>
    <row r="1" spans="1:20" ht="31.95" customHeight="1">
      <c r="A1" s="116" t="s">
        <v>87</v>
      </c>
      <c r="Q1" s="527" t="s">
        <v>88</v>
      </c>
      <c r="R1" s="528"/>
      <c r="S1" s="117">
        <v>2026</v>
      </c>
      <c r="T1" s="118" t="s">
        <v>89</v>
      </c>
    </row>
    <row r="2" spans="1:20" ht="13.2" customHeight="1">
      <c r="A2" s="116"/>
    </row>
    <row r="3" spans="1:20" ht="27.6" customHeight="1">
      <c r="A3" s="17" t="s">
        <v>90</v>
      </c>
      <c r="B3" s="119"/>
      <c r="C3" s="120"/>
      <c r="E3" s="121" t="s">
        <v>91</v>
      </c>
      <c r="F3" s="122" t="str">
        <f>'入力＆結果'!H17</f>
        <v>令和８年</v>
      </c>
      <c r="G3" s="123">
        <f>'入力＆結果'!K17</f>
        <v>4</v>
      </c>
      <c r="I3" s="17" t="s">
        <v>92</v>
      </c>
      <c r="P3" s="17" t="s">
        <v>93</v>
      </c>
    </row>
    <row r="4" spans="1:20" ht="27" customHeight="1">
      <c r="A4" s="124"/>
      <c r="B4" s="125" t="s">
        <v>94</v>
      </c>
      <c r="C4" s="125" t="s">
        <v>95</v>
      </c>
      <c r="D4" s="125" t="s">
        <v>6</v>
      </c>
      <c r="E4" s="125" t="s">
        <v>96</v>
      </c>
      <c r="F4" s="125" t="s">
        <v>8</v>
      </c>
      <c r="G4" s="125" t="s">
        <v>97</v>
      </c>
      <c r="I4" s="126"/>
      <c r="J4" s="127" t="s">
        <v>28</v>
      </c>
      <c r="K4" s="127" t="s">
        <v>98</v>
      </c>
      <c r="L4" s="128" t="s">
        <v>99</v>
      </c>
      <c r="M4" s="127" t="s">
        <v>31</v>
      </c>
      <c r="N4" s="127" t="s">
        <v>38</v>
      </c>
      <c r="P4" s="126"/>
      <c r="Q4" s="129" t="s">
        <v>100</v>
      </c>
      <c r="R4" s="130" t="s">
        <v>101</v>
      </c>
      <c r="S4" s="127" t="s">
        <v>102</v>
      </c>
    </row>
    <row r="5" spans="1:20" ht="15" customHeight="1">
      <c r="A5" s="131" t="s">
        <v>10</v>
      </c>
      <c r="B5" s="131" t="str">
        <f>'入力＆結果'!E20</f>
        <v>加入する</v>
      </c>
      <c r="C5" s="341" t="str">
        <f>IF(OR('入力＆結果'!K20="",'入力＆結果'!M20="",'入力＆結果'!O20=""),"",IF('入力＆結果'!J20="昭和_",DATE(1925+'入力＆結果'!K20,'入力＆結果'!M20,'入力＆結果'!O20),IF('入力＆結果'!J20="平成",DATE(1988+'入力＆結果'!$K20,'入力＆結果'!M20,'入力＆結果'!O20),DATE(2018+'入力＆結果'!K20,'入力＆結果'!M20,'入力＆結果'!O20))))</f>
        <v/>
      </c>
      <c r="D5" s="132">
        <f>'入力＆結果'!R20</f>
        <v>0</v>
      </c>
      <c r="E5" s="132">
        <f>'入力＆結果'!Y20</f>
        <v>0</v>
      </c>
      <c r="F5" s="132">
        <f>'入力＆結果'!AF20</f>
        <v>0</v>
      </c>
      <c r="G5" s="133" t="str">
        <f>IF('入力＆結果'!AM20="","",'入力＆結果'!AM20)</f>
        <v/>
      </c>
      <c r="I5" s="134" t="s">
        <v>103</v>
      </c>
      <c r="J5" s="135">
        <v>7.6799999999999993E-2</v>
      </c>
      <c r="K5" s="136">
        <v>30000</v>
      </c>
      <c r="L5" s="136">
        <v>0</v>
      </c>
      <c r="M5" s="136">
        <v>29000</v>
      </c>
      <c r="N5" s="137">
        <v>670000</v>
      </c>
      <c r="P5" s="134" t="s">
        <v>104</v>
      </c>
      <c r="Q5" s="343">
        <v>430000</v>
      </c>
      <c r="R5" s="138">
        <v>0</v>
      </c>
      <c r="S5" s="136">
        <v>100000</v>
      </c>
    </row>
    <row r="6" spans="1:20" ht="15" customHeight="1">
      <c r="A6" s="139" t="s">
        <v>105</v>
      </c>
      <c r="B6" s="139"/>
      <c r="C6" s="342" t="str">
        <f>IF(OR('入力＆結果'!K22="",'入力＆結果'!M22="",'入力＆結果'!O22=""),"",IF('入力＆結果'!J22="昭和",DATE(1925+'入力＆結果'!K22,'入力＆結果'!M22,'入力＆結果'!O22),IF('入力＆結果'!J22="平成",DATE(1988+'入力＆結果'!$K22,'入力＆結果'!M22,'入力＆結果'!O22),DATE(2018+'入力＆結果'!K22,'入力＆結果'!M22,'入力＆結果'!O22))))</f>
        <v/>
      </c>
      <c r="D6" s="140">
        <f>'入力＆結果'!R22</f>
        <v>0</v>
      </c>
      <c r="E6" s="140">
        <f>'入力＆結果'!Y22</f>
        <v>0</v>
      </c>
      <c r="F6" s="140">
        <f>'入力＆結果'!AF22</f>
        <v>0</v>
      </c>
      <c r="G6" s="141" t="str">
        <f>IF('入力＆結果'!AM22="","",'入力＆結果'!AM22)</f>
        <v/>
      </c>
      <c r="I6" s="142" t="s">
        <v>106</v>
      </c>
      <c r="J6" s="143">
        <v>2.8299999999999999E-2</v>
      </c>
      <c r="K6" s="136">
        <v>11000</v>
      </c>
      <c r="L6" s="136">
        <v>0</v>
      </c>
      <c r="M6" s="136">
        <v>11000</v>
      </c>
      <c r="N6" s="137">
        <v>260000</v>
      </c>
      <c r="P6" s="144" t="s">
        <v>107</v>
      </c>
      <c r="Q6" s="145">
        <v>430000</v>
      </c>
      <c r="R6" s="146">
        <v>310000</v>
      </c>
      <c r="S6" s="147">
        <v>100000</v>
      </c>
    </row>
    <row r="7" spans="1:20" ht="15" customHeight="1">
      <c r="A7" s="131" t="s">
        <v>108</v>
      </c>
      <c r="B7" s="131"/>
      <c r="C7" s="341" t="str">
        <f>IF(OR('入力＆結果'!K24="",'入力＆結果'!M24="",'入力＆結果'!O24=""),"",IF('入力＆結果'!J24="昭和",DATE(1925+'入力＆結果'!K24,'入力＆結果'!M24,'入力＆結果'!O24),IF('入力＆結果'!J24="平成",DATE(1988+'入力＆結果'!$K24,'入力＆結果'!M24,'入力＆結果'!O24),DATE(2018+'入力＆結果'!K24,'入力＆結果'!M24,'入力＆結果'!O24))))</f>
        <v/>
      </c>
      <c r="D7" s="132">
        <f>'入力＆結果'!R24</f>
        <v>0</v>
      </c>
      <c r="E7" s="132">
        <f>'入力＆結果'!Y24</f>
        <v>0</v>
      </c>
      <c r="F7" s="132">
        <f>'入力＆結果'!AF24</f>
        <v>0</v>
      </c>
      <c r="G7" s="133" t="str">
        <f>IF('入力＆結果'!AM24="","",'入力＆結果'!AM24)</f>
        <v/>
      </c>
      <c r="I7" s="142" t="s">
        <v>34</v>
      </c>
      <c r="J7" s="143">
        <v>2.3099999999999999E-2</v>
      </c>
      <c r="K7" s="136">
        <v>18000</v>
      </c>
      <c r="L7" s="136">
        <v>0</v>
      </c>
      <c r="M7" s="148">
        <v>0</v>
      </c>
      <c r="N7" s="137">
        <v>170000</v>
      </c>
      <c r="P7" s="134" t="s">
        <v>109</v>
      </c>
      <c r="Q7" s="343">
        <v>430000</v>
      </c>
      <c r="R7" s="138">
        <v>570000</v>
      </c>
      <c r="S7" s="136">
        <v>100000</v>
      </c>
    </row>
    <row r="8" spans="1:20" ht="15" customHeight="1">
      <c r="A8" s="139" t="s">
        <v>110</v>
      </c>
      <c r="B8" s="139"/>
      <c r="C8" s="342" t="str">
        <f>IF(OR('入力＆結果'!K26="",'入力＆結果'!M26="",'入力＆結果'!O26=""),"",IF('入力＆結果'!J26="昭和",DATE(1925+'入力＆結果'!K26,'入力＆結果'!M26,'入力＆結果'!O26),IF('入力＆結果'!J26="平成",DATE(1988+'入力＆結果'!$K26,'入力＆結果'!M26,'入力＆結果'!O26),DATE(2018+'入力＆結果'!K26,'入力＆結果'!M26,'入力＆結果'!O26))))</f>
        <v/>
      </c>
      <c r="D8" s="140">
        <f>'入力＆結果'!R26</f>
        <v>0</v>
      </c>
      <c r="E8" s="140">
        <f>'入力＆結果'!Y26</f>
        <v>0</v>
      </c>
      <c r="F8" s="140">
        <f>'入力＆結果'!AF26</f>
        <v>0</v>
      </c>
      <c r="G8" s="141" t="str">
        <f>IF('入力＆結果'!AM26="","",'入力＆結果'!AM26)</f>
        <v/>
      </c>
      <c r="I8" s="353" t="s">
        <v>27</v>
      </c>
      <c r="J8" s="354">
        <v>2.7000000000000001E-3</v>
      </c>
      <c r="K8" s="137">
        <v>960</v>
      </c>
      <c r="L8" s="137">
        <v>40</v>
      </c>
      <c r="M8" s="137">
        <v>1000</v>
      </c>
      <c r="N8" s="137">
        <v>30000</v>
      </c>
    </row>
    <row r="9" spans="1:20" ht="15" customHeight="1">
      <c r="A9" s="131" t="s">
        <v>111</v>
      </c>
      <c r="B9" s="131"/>
      <c r="C9" s="341" t="str">
        <f>IF(OR('入力＆結果'!K28="",'入力＆結果'!M28="",'入力＆結果'!O28=""),"",IF('入力＆結果'!J28="昭和",DATE(1925+'入力＆結果'!K28,'入力＆結果'!M28,'入力＆結果'!O28),IF('入力＆結果'!J28="平成",DATE(1988+'入力＆結果'!$K28,'入力＆結果'!M28,'入力＆結果'!O28),DATE(2018+'入力＆結果'!K28,'入力＆結果'!M28,'入力＆結果'!O28))))</f>
        <v/>
      </c>
      <c r="D9" s="132">
        <f>'入力＆結果'!R28</f>
        <v>0</v>
      </c>
      <c r="E9" s="132">
        <f>'入力＆結果'!Y28</f>
        <v>0</v>
      </c>
      <c r="F9" s="132">
        <f>'入力＆結果'!AF28</f>
        <v>0</v>
      </c>
      <c r="G9" s="133" t="str">
        <f>IF('入力＆結果'!AM28="","",'入力＆結果'!AM28)</f>
        <v/>
      </c>
      <c r="I9" s="149"/>
      <c r="J9" s="149"/>
      <c r="K9" s="149"/>
      <c r="L9" s="149"/>
      <c r="M9" s="149"/>
      <c r="N9" s="149"/>
    </row>
    <row r="10" spans="1:20" ht="15" customHeight="1">
      <c r="A10" s="139" t="s">
        <v>112</v>
      </c>
      <c r="B10" s="139"/>
      <c r="C10" s="342" t="str">
        <f>IF(OR('入力＆結果'!K30="",'入力＆結果'!M30="",'入力＆結果'!O30=""),"",IF('入力＆結果'!J30="昭和",DATE(1925+'入力＆結果'!K30,'入力＆結果'!M30,'入力＆結果'!O30),IF('入力＆結果'!J30="平成",DATE(1988+'入力＆結果'!$K30,'入力＆結果'!M30,'入力＆結果'!O30),DATE(2018+'入力＆結果'!K30,'入力＆結果'!M30,'入力＆結果'!O30))))</f>
        <v/>
      </c>
      <c r="D10" s="140">
        <f>'入力＆結果'!R30</f>
        <v>0</v>
      </c>
      <c r="E10" s="140">
        <f>'入力＆結果'!Y30</f>
        <v>0</v>
      </c>
      <c r="F10" s="140">
        <f>'入力＆結果'!AF30</f>
        <v>0</v>
      </c>
      <c r="G10" s="141" t="str">
        <f>IF('入力＆結果'!AM30="","",'入力＆結果'!AM30)</f>
        <v/>
      </c>
      <c r="I10" s="150"/>
      <c r="J10" s="150"/>
      <c r="K10" s="150"/>
      <c r="L10" s="150"/>
      <c r="M10" s="150"/>
    </row>
    <row r="13" spans="1:20" ht="25.95" customHeight="1">
      <c r="A13" s="17" t="s">
        <v>113</v>
      </c>
      <c r="P13" s="17" t="s">
        <v>114</v>
      </c>
      <c r="Q13" s="345"/>
      <c r="R13" s="151"/>
      <c r="S13" s="151"/>
      <c r="T13" s="151"/>
    </row>
    <row r="14" spans="1:20" ht="16.2" customHeight="1">
      <c r="A14" s="529" t="s">
        <v>115</v>
      </c>
      <c r="B14" s="529"/>
      <c r="C14" s="152">
        <f>C19</f>
        <v>0</v>
      </c>
      <c r="D14" s="152">
        <f t="shared" ref="D14:N14" si="0">D19</f>
        <v>0</v>
      </c>
      <c r="E14" s="152">
        <f t="shared" si="0"/>
        <v>0</v>
      </c>
      <c r="F14" s="152">
        <f t="shared" si="0"/>
        <v>0</v>
      </c>
      <c r="G14" s="152">
        <f t="shared" si="0"/>
        <v>0</v>
      </c>
      <c r="H14" s="152">
        <f t="shared" si="0"/>
        <v>0</v>
      </c>
      <c r="I14" s="152">
        <f t="shared" si="0"/>
        <v>0</v>
      </c>
      <c r="J14" s="152">
        <f t="shared" si="0"/>
        <v>0</v>
      </c>
      <c r="K14" s="152">
        <f t="shared" si="0"/>
        <v>0</v>
      </c>
      <c r="L14" s="152">
        <f t="shared" si="0"/>
        <v>0</v>
      </c>
      <c r="M14" s="152">
        <f t="shared" si="0"/>
        <v>0</v>
      </c>
      <c r="N14" s="152">
        <f t="shared" si="0"/>
        <v>0</v>
      </c>
      <c r="O14" s="153"/>
      <c r="P14" s="530" t="s">
        <v>116</v>
      </c>
      <c r="Q14" s="530"/>
      <c r="R14" s="531" t="s">
        <v>117</v>
      </c>
      <c r="S14" s="531"/>
      <c r="T14" s="531" t="s">
        <v>118</v>
      </c>
    </row>
    <row r="15" spans="1:20" ht="16.2" customHeight="1">
      <c r="A15" s="529" t="s">
        <v>119</v>
      </c>
      <c r="B15" s="529"/>
      <c r="C15" s="154">
        <f>DATE($S$1,4,1)</f>
        <v>46113</v>
      </c>
      <c r="D15" s="154">
        <f>DATE($S$1,5,1)</f>
        <v>46143</v>
      </c>
      <c r="E15" s="154">
        <f>DATE($S$1,6,1)</f>
        <v>46174</v>
      </c>
      <c r="F15" s="154">
        <f>DATE($S$1,7,1)</f>
        <v>46204</v>
      </c>
      <c r="G15" s="154">
        <f>DATE($S$1,8,1)</f>
        <v>46235</v>
      </c>
      <c r="H15" s="154">
        <f>DATE($S$1,9,1)</f>
        <v>46266</v>
      </c>
      <c r="I15" s="154">
        <f>DATE($S$1,10,1)</f>
        <v>46296</v>
      </c>
      <c r="J15" s="154">
        <f>DATE($S$1,11,1)</f>
        <v>46327</v>
      </c>
      <c r="K15" s="154">
        <f>DATE($S$1,12,1)</f>
        <v>46357</v>
      </c>
      <c r="L15" s="154">
        <f>DATE($S$1+1,1,1)</f>
        <v>46388</v>
      </c>
      <c r="M15" s="154">
        <f>DATE($S$1+1,2,1)</f>
        <v>46419</v>
      </c>
      <c r="N15" s="154">
        <f>DATE($S$1+1,3,1)</f>
        <v>46447</v>
      </c>
      <c r="P15" s="530"/>
      <c r="Q15" s="530"/>
      <c r="R15" s="155" t="s">
        <v>120</v>
      </c>
      <c r="S15" s="155" t="s">
        <v>121</v>
      </c>
      <c r="T15" s="530"/>
    </row>
    <row r="16" spans="1:20" ht="16.2" customHeight="1">
      <c r="A16" s="517" t="s">
        <v>122</v>
      </c>
      <c r="B16" s="517"/>
      <c r="C16" s="156">
        <f>EOMONTH(C15,0)</f>
        <v>46142</v>
      </c>
      <c r="D16" s="156">
        <f t="shared" ref="D16:N16" si="1">EOMONTH(D15,0)</f>
        <v>46173</v>
      </c>
      <c r="E16" s="156">
        <f t="shared" si="1"/>
        <v>46203</v>
      </c>
      <c r="F16" s="156">
        <f t="shared" si="1"/>
        <v>46234</v>
      </c>
      <c r="G16" s="156">
        <f t="shared" si="1"/>
        <v>46265</v>
      </c>
      <c r="H16" s="156">
        <f t="shared" si="1"/>
        <v>46295</v>
      </c>
      <c r="I16" s="156">
        <f t="shared" si="1"/>
        <v>46326</v>
      </c>
      <c r="J16" s="156">
        <f t="shared" si="1"/>
        <v>46356</v>
      </c>
      <c r="K16" s="156">
        <f t="shared" si="1"/>
        <v>46387</v>
      </c>
      <c r="L16" s="156">
        <f t="shared" si="1"/>
        <v>46418</v>
      </c>
      <c r="M16" s="156">
        <f t="shared" si="1"/>
        <v>46446</v>
      </c>
      <c r="N16" s="156">
        <f t="shared" si="1"/>
        <v>46477</v>
      </c>
      <c r="P16" s="515" t="s">
        <v>123</v>
      </c>
      <c r="Q16" s="515"/>
      <c r="R16" s="157"/>
      <c r="S16" s="158">
        <f>DATE($S$1-65,1,1)</f>
        <v>22282</v>
      </c>
      <c r="T16" s="516" t="s">
        <v>124</v>
      </c>
    </row>
    <row r="17" spans="1:20" ht="16.2" customHeight="1">
      <c r="A17" s="517" t="s">
        <v>125</v>
      </c>
      <c r="B17" s="517"/>
      <c r="C17" s="159">
        <f>IF(MONTH(C15)=$G$3,1,IF(A17=1,1,0))</f>
        <v>1</v>
      </c>
      <c r="D17" s="159">
        <f t="shared" ref="D17:N17" si="2">IF(MONTH(D15)=$G$3,1,IF(C17=1,1,0))</f>
        <v>1</v>
      </c>
      <c r="E17" s="159">
        <f t="shared" si="2"/>
        <v>1</v>
      </c>
      <c r="F17" s="159">
        <f t="shared" si="2"/>
        <v>1</v>
      </c>
      <c r="G17" s="159">
        <f t="shared" si="2"/>
        <v>1</v>
      </c>
      <c r="H17" s="159">
        <f t="shared" si="2"/>
        <v>1</v>
      </c>
      <c r="I17" s="159">
        <f t="shared" si="2"/>
        <v>1</v>
      </c>
      <c r="J17" s="159">
        <f t="shared" si="2"/>
        <v>1</v>
      </c>
      <c r="K17" s="159">
        <f t="shared" si="2"/>
        <v>1</v>
      </c>
      <c r="L17" s="159">
        <f t="shared" si="2"/>
        <v>1</v>
      </c>
      <c r="M17" s="159">
        <f t="shared" si="2"/>
        <v>1</v>
      </c>
      <c r="N17" s="159">
        <f t="shared" si="2"/>
        <v>1</v>
      </c>
      <c r="P17" s="515"/>
      <c r="Q17" s="515"/>
      <c r="R17" s="160"/>
      <c r="S17" s="161" t="str">
        <f>"("&amp;TEXT(S16,"ge.m.ｄ")&amp;")"</f>
        <v>(S36.1.1)</v>
      </c>
      <c r="T17" s="516"/>
    </row>
    <row r="18" spans="1:20" ht="16.2" customHeight="1">
      <c r="A18" s="517" t="s">
        <v>126</v>
      </c>
      <c r="B18" s="517"/>
      <c r="C18" s="159">
        <f>IF(AND(C17&gt;=1,SUM(C26:C31)&gt;=1),1,0)</f>
        <v>0</v>
      </c>
      <c r="D18" s="159">
        <f t="shared" ref="D18:N18" si="3">IF(AND(D17&gt;=1,SUM(D26:D31)&gt;=1),1,0)</f>
        <v>0</v>
      </c>
      <c r="E18" s="159">
        <f t="shared" si="3"/>
        <v>0</v>
      </c>
      <c r="F18" s="159">
        <f t="shared" si="3"/>
        <v>0</v>
      </c>
      <c r="G18" s="159">
        <f t="shared" si="3"/>
        <v>0</v>
      </c>
      <c r="H18" s="159">
        <f t="shared" si="3"/>
        <v>0</v>
      </c>
      <c r="I18" s="159">
        <f t="shared" si="3"/>
        <v>0</v>
      </c>
      <c r="J18" s="159">
        <f t="shared" si="3"/>
        <v>0</v>
      </c>
      <c r="K18" s="159">
        <f t="shared" si="3"/>
        <v>0</v>
      </c>
      <c r="L18" s="159">
        <f t="shared" si="3"/>
        <v>0</v>
      </c>
      <c r="M18" s="159">
        <f t="shared" si="3"/>
        <v>0</v>
      </c>
      <c r="N18" s="159">
        <f t="shared" si="3"/>
        <v>0</v>
      </c>
      <c r="P18" s="515" t="s">
        <v>127</v>
      </c>
      <c r="Q18" s="515"/>
      <c r="R18" s="157">
        <f>DATE($S$1-6,4,2)</f>
        <v>43923</v>
      </c>
      <c r="S18" s="158">
        <f>DATE($S$1-5,4,1)</f>
        <v>44287</v>
      </c>
      <c r="T18" s="516"/>
    </row>
    <row r="19" spans="1:20" ht="16.2" customHeight="1" thickBot="1">
      <c r="A19" s="526" t="s">
        <v>128</v>
      </c>
      <c r="B19" s="526"/>
      <c r="C19" s="162">
        <f>IF(C18=1,1,0)</f>
        <v>0</v>
      </c>
      <c r="D19" s="162">
        <f>IF(D18=0,0,IF(AND(C26=D26,C27=D27,C28=D28,C29=D29,C30=D30,C31=D31),0,COUNTIF($C19:C19,"&gt;=1")+1))</f>
        <v>0</v>
      </c>
      <c r="E19" s="162">
        <f>IF(E18=0,0,IF(AND(D26=E26,D27=E27,D28=E28,D29=E29,D30=E30,D31=E31),0,COUNTIF($C19:D19,"&gt;=1")+1))</f>
        <v>0</v>
      </c>
      <c r="F19" s="162">
        <f>IF(F18=0,0,IF(AND(E26=F26,E27=F27,E28=F28,E29=F29,E30=F30,E31=F31),0,COUNTIF($C19:E19,"&gt;=1")+1))</f>
        <v>0</v>
      </c>
      <c r="G19" s="162">
        <f>IF(G18=0,0,IF(AND(F26=G26,F27=G27,F28=G28,F29=G29,F30=G30,F31=G31),0,COUNTIF($C19:F19,"&gt;=1")+1))</f>
        <v>0</v>
      </c>
      <c r="H19" s="162">
        <f>IF(H18=0,0,IF(AND(G26=H26,G27=H27,G28=H28,G29=H29,G30=H30,G31=H31),0,COUNTIF($C19:G19,"&gt;=1")+1))</f>
        <v>0</v>
      </c>
      <c r="I19" s="162">
        <f>IF(I18=0,0,IF(AND(H26=I26,H27=I27,H28=I28,H29=I29,H30=I30,H31=I31),0,COUNTIF($C19:H19,"&gt;=1")+1))</f>
        <v>0</v>
      </c>
      <c r="J19" s="162">
        <f>IF(J18=0,0,IF(AND(I26=J26,I27=J27,I28=J28,I29=J29,I30=J30,I31=J31),0,COUNTIF($C19:I19,"&gt;=1")+1))</f>
        <v>0</v>
      </c>
      <c r="K19" s="162">
        <f>IF(K18=0,0,IF(AND(J26=K26,J27=K27,J28=K28,J29=K29,J30=K30,J31=K31),0,COUNTIF($C19:J19,"&gt;=1")+1))</f>
        <v>0</v>
      </c>
      <c r="L19" s="162">
        <f>IF(L18=0,0,IF(AND(K26=L26,K27=L27,K28=L28,K29=L29,K30=L30,K31=L31),0,COUNTIF($C19:K19,"&gt;=1")+1))</f>
        <v>0</v>
      </c>
      <c r="M19" s="162">
        <f>IF(M18=0,0,IF(AND(L26=M26,L27=M27,L28=M28,L29=M29,L30=M30,L31=M31),0,COUNTIF($C19:L19,"&gt;=1")+1))</f>
        <v>0</v>
      </c>
      <c r="N19" s="162">
        <f>IF(N18=0,0,IF(AND(M26=N26,M27=N27,M28=N28,M29=N29,M30=N30,M31=N31),0,COUNTIF($C19:M19,"&gt;=1")+1))</f>
        <v>0</v>
      </c>
      <c r="P19" s="515"/>
      <c r="Q19" s="515"/>
      <c r="R19" s="163" t="str">
        <f t="shared" ref="R19:S19" si="4">"("&amp;TEXT(R18,"ge.m.ｄ")&amp;")"</f>
        <v>(R2.4.2)</v>
      </c>
      <c r="S19" s="161" t="str">
        <f t="shared" si="4"/>
        <v>(R3.4.1)</v>
      </c>
      <c r="T19" s="516"/>
    </row>
    <row r="20" spans="1:20" ht="16.2" customHeight="1" thickTop="1">
      <c r="A20" s="513" t="s">
        <v>129</v>
      </c>
      <c r="B20" s="164" t="s">
        <v>10</v>
      </c>
      <c r="C20" s="165" t="str">
        <f t="shared" ref="C20:N25" si="5">IF($C5="","N",IF(DATEDIF($C5,C$16,"Y")=75,"後期",DATEDIF($C5,C$16+1,"Y")))</f>
        <v>N</v>
      </c>
      <c r="D20" s="165" t="str">
        <f t="shared" si="5"/>
        <v>N</v>
      </c>
      <c r="E20" s="165" t="str">
        <f t="shared" si="5"/>
        <v>N</v>
      </c>
      <c r="F20" s="165" t="str">
        <f t="shared" si="5"/>
        <v>N</v>
      </c>
      <c r="G20" s="165" t="str">
        <f t="shared" si="5"/>
        <v>N</v>
      </c>
      <c r="H20" s="165" t="str">
        <f t="shared" si="5"/>
        <v>N</v>
      </c>
      <c r="I20" s="165" t="str">
        <f t="shared" si="5"/>
        <v>N</v>
      </c>
      <c r="J20" s="165" t="str">
        <f t="shared" si="5"/>
        <v>N</v>
      </c>
      <c r="K20" s="165" t="str">
        <f t="shared" si="5"/>
        <v>N</v>
      </c>
      <c r="L20" s="165" t="str">
        <f t="shared" si="5"/>
        <v>N</v>
      </c>
      <c r="M20" s="165" t="str">
        <f t="shared" si="5"/>
        <v>N</v>
      </c>
      <c r="N20" s="165" t="str">
        <f t="shared" si="5"/>
        <v>N</v>
      </c>
      <c r="P20" s="515" t="s">
        <v>130</v>
      </c>
      <c r="Q20" s="515"/>
      <c r="R20" s="157">
        <f>DATE($S$1-18,4,2)</f>
        <v>39540</v>
      </c>
      <c r="S20" s="158">
        <f>DATE($S$1-17,4,1)</f>
        <v>39904</v>
      </c>
      <c r="T20" s="516"/>
    </row>
    <row r="21" spans="1:20" ht="16.2" customHeight="1">
      <c r="A21" s="514"/>
      <c r="B21" s="139" t="s">
        <v>105</v>
      </c>
      <c r="C21" s="166" t="str">
        <f t="shared" si="5"/>
        <v>N</v>
      </c>
      <c r="D21" s="166" t="str">
        <f t="shared" si="5"/>
        <v>N</v>
      </c>
      <c r="E21" s="166" t="str">
        <f t="shared" si="5"/>
        <v>N</v>
      </c>
      <c r="F21" s="166" t="str">
        <f t="shared" si="5"/>
        <v>N</v>
      </c>
      <c r="G21" s="166" t="str">
        <f t="shared" si="5"/>
        <v>N</v>
      </c>
      <c r="H21" s="166" t="str">
        <f t="shared" si="5"/>
        <v>N</v>
      </c>
      <c r="I21" s="166" t="str">
        <f t="shared" si="5"/>
        <v>N</v>
      </c>
      <c r="J21" s="166" t="str">
        <f t="shared" si="5"/>
        <v>N</v>
      </c>
      <c r="K21" s="166" t="str">
        <f t="shared" si="5"/>
        <v>N</v>
      </c>
      <c r="L21" s="166" t="str">
        <f t="shared" si="5"/>
        <v>N</v>
      </c>
      <c r="M21" s="166" t="str">
        <f t="shared" si="5"/>
        <v>N</v>
      </c>
      <c r="N21" s="166" t="str">
        <f t="shared" si="5"/>
        <v>N</v>
      </c>
      <c r="P21" s="515"/>
      <c r="Q21" s="515"/>
      <c r="R21" s="163" t="str">
        <f t="shared" ref="R21" si="6">"("&amp;TEXT(R20,"ge.m.ｄ")&amp;")"</f>
        <v>(H20.4.2)</v>
      </c>
      <c r="S21" s="161" t="str">
        <f>"("&amp;TEXT(S20,"ge.m.ｄ")&amp;")"</f>
        <v>(H21.4.1)</v>
      </c>
      <c r="T21" s="516"/>
    </row>
    <row r="22" spans="1:20" ht="16.2" customHeight="1">
      <c r="A22" s="514"/>
      <c r="B22" s="131" t="s">
        <v>108</v>
      </c>
      <c r="C22" s="167" t="str">
        <f t="shared" si="5"/>
        <v>N</v>
      </c>
      <c r="D22" s="167" t="str">
        <f t="shared" si="5"/>
        <v>N</v>
      </c>
      <c r="E22" s="167" t="str">
        <f t="shared" si="5"/>
        <v>N</v>
      </c>
      <c r="F22" s="167" t="str">
        <f t="shared" si="5"/>
        <v>N</v>
      </c>
      <c r="G22" s="167" t="str">
        <f t="shared" si="5"/>
        <v>N</v>
      </c>
      <c r="H22" s="167" t="str">
        <f t="shared" si="5"/>
        <v>N</v>
      </c>
      <c r="I22" s="167" t="str">
        <f t="shared" si="5"/>
        <v>N</v>
      </c>
      <c r="J22" s="167" t="str">
        <f t="shared" si="5"/>
        <v>N</v>
      </c>
      <c r="K22" s="167" t="str">
        <f t="shared" si="5"/>
        <v>N</v>
      </c>
      <c r="L22" s="167" t="str">
        <f t="shared" si="5"/>
        <v>N</v>
      </c>
      <c r="M22" s="167" t="str">
        <f t="shared" si="5"/>
        <v>N</v>
      </c>
      <c r="N22" s="167" t="str">
        <f t="shared" si="5"/>
        <v>N</v>
      </c>
      <c r="P22" s="515" t="s">
        <v>131</v>
      </c>
      <c r="Q22" s="515"/>
      <c r="R22" s="157">
        <f>DATE($S$1-40,4,2)</f>
        <v>31504</v>
      </c>
      <c r="S22" s="158">
        <f>DATE($S$1-39,4,1)</f>
        <v>31868</v>
      </c>
      <c r="T22" s="516" t="s">
        <v>132</v>
      </c>
    </row>
    <row r="23" spans="1:20" ht="16.2" customHeight="1">
      <c r="A23" s="514"/>
      <c r="B23" s="139" t="s">
        <v>110</v>
      </c>
      <c r="C23" s="166" t="str">
        <f t="shared" si="5"/>
        <v>N</v>
      </c>
      <c r="D23" s="166" t="str">
        <f t="shared" si="5"/>
        <v>N</v>
      </c>
      <c r="E23" s="166" t="str">
        <f t="shared" si="5"/>
        <v>N</v>
      </c>
      <c r="F23" s="166" t="str">
        <f t="shared" si="5"/>
        <v>N</v>
      </c>
      <c r="G23" s="166" t="str">
        <f t="shared" si="5"/>
        <v>N</v>
      </c>
      <c r="H23" s="166" t="str">
        <f t="shared" si="5"/>
        <v>N</v>
      </c>
      <c r="I23" s="166" t="str">
        <f t="shared" si="5"/>
        <v>N</v>
      </c>
      <c r="J23" s="166" t="str">
        <f t="shared" si="5"/>
        <v>N</v>
      </c>
      <c r="K23" s="166" t="str">
        <f t="shared" si="5"/>
        <v>N</v>
      </c>
      <c r="L23" s="166" t="str">
        <f t="shared" si="5"/>
        <v>N</v>
      </c>
      <c r="M23" s="166" t="str">
        <f t="shared" si="5"/>
        <v>N</v>
      </c>
      <c r="N23" s="166" t="str">
        <f t="shared" si="5"/>
        <v>N</v>
      </c>
      <c r="P23" s="515"/>
      <c r="Q23" s="515"/>
      <c r="R23" s="163" t="str">
        <f t="shared" ref="R23:S23" si="7">"("&amp;TEXT(R22,"ge.m.ｄ")&amp;")"</f>
        <v>(S61.4.2)</v>
      </c>
      <c r="S23" s="161" t="str">
        <f t="shared" si="7"/>
        <v>(S62.4.1)</v>
      </c>
      <c r="T23" s="516"/>
    </row>
    <row r="24" spans="1:20" ht="16.2" customHeight="1">
      <c r="A24" s="514"/>
      <c r="B24" s="131" t="s">
        <v>111</v>
      </c>
      <c r="C24" s="167" t="str">
        <f t="shared" si="5"/>
        <v>N</v>
      </c>
      <c r="D24" s="167" t="str">
        <f t="shared" si="5"/>
        <v>N</v>
      </c>
      <c r="E24" s="167" t="str">
        <f t="shared" si="5"/>
        <v>N</v>
      </c>
      <c r="F24" s="167" t="str">
        <f t="shared" si="5"/>
        <v>N</v>
      </c>
      <c r="G24" s="167" t="str">
        <f t="shared" si="5"/>
        <v>N</v>
      </c>
      <c r="H24" s="167" t="str">
        <f t="shared" si="5"/>
        <v>N</v>
      </c>
      <c r="I24" s="167" t="str">
        <f t="shared" si="5"/>
        <v>N</v>
      </c>
      <c r="J24" s="167" t="str">
        <f t="shared" si="5"/>
        <v>N</v>
      </c>
      <c r="K24" s="167" t="str">
        <f t="shared" si="5"/>
        <v>N</v>
      </c>
      <c r="L24" s="167" t="str">
        <f t="shared" si="5"/>
        <v>N</v>
      </c>
      <c r="M24" s="167" t="str">
        <f t="shared" si="5"/>
        <v>N</v>
      </c>
      <c r="N24" s="167" t="str">
        <f t="shared" si="5"/>
        <v>N</v>
      </c>
      <c r="P24" s="515" t="s">
        <v>133</v>
      </c>
      <c r="Q24" s="515"/>
      <c r="R24" s="157">
        <f>DATE($S$1-65,5,2)</f>
        <v>22403</v>
      </c>
      <c r="S24" s="158">
        <f>DATE($S$1-64,4,1)</f>
        <v>22737</v>
      </c>
      <c r="T24" s="516" t="s">
        <v>134</v>
      </c>
    </row>
    <row r="25" spans="1:20" ht="16.2" customHeight="1" thickBot="1">
      <c r="A25" s="525"/>
      <c r="B25" s="168" t="s">
        <v>112</v>
      </c>
      <c r="C25" s="169" t="str">
        <f t="shared" si="5"/>
        <v>N</v>
      </c>
      <c r="D25" s="169" t="str">
        <f t="shared" si="5"/>
        <v>N</v>
      </c>
      <c r="E25" s="169" t="str">
        <f t="shared" si="5"/>
        <v>N</v>
      </c>
      <c r="F25" s="169" t="str">
        <f t="shared" si="5"/>
        <v>N</v>
      </c>
      <c r="G25" s="169" t="str">
        <f t="shared" si="5"/>
        <v>N</v>
      </c>
      <c r="H25" s="169" t="str">
        <f t="shared" si="5"/>
        <v>N</v>
      </c>
      <c r="I25" s="169" t="str">
        <f t="shared" si="5"/>
        <v>N</v>
      </c>
      <c r="J25" s="169" t="str">
        <f t="shared" si="5"/>
        <v>N</v>
      </c>
      <c r="K25" s="169" t="str">
        <f t="shared" si="5"/>
        <v>N</v>
      </c>
      <c r="L25" s="169" t="str">
        <f t="shared" si="5"/>
        <v>N</v>
      </c>
      <c r="M25" s="169" t="str">
        <f t="shared" si="5"/>
        <v>N</v>
      </c>
      <c r="N25" s="169" t="str">
        <f t="shared" si="5"/>
        <v>N</v>
      </c>
      <c r="P25" s="515"/>
      <c r="Q25" s="515"/>
      <c r="R25" s="163" t="str">
        <f t="shared" ref="R25:S25" si="8">"("&amp;TEXT(R24,"ge.m.ｄ")&amp;")"</f>
        <v>(S36.5.2)</v>
      </c>
      <c r="S25" s="161" t="str">
        <f t="shared" si="8"/>
        <v>(S37.4.1)</v>
      </c>
      <c r="T25" s="516"/>
    </row>
    <row r="26" spans="1:20" ht="16.2" customHeight="1" thickTop="1">
      <c r="A26" s="513" t="s">
        <v>135</v>
      </c>
      <c r="B26" s="164" t="s">
        <v>10</v>
      </c>
      <c r="C26" s="164">
        <f t="shared" ref="C26:N31" si="9">IF(OR($B5="加入しない",$C5="",C$17=0),0,IF($C5&gt;=$S$18,1,IF($C5&gt;=$S$20,2,IF(AND(C20&gt;=40,C20&lt;=64),3,IF(C20="後期",0,4)))))</f>
        <v>0</v>
      </c>
      <c r="D26" s="164">
        <f t="shared" si="9"/>
        <v>0</v>
      </c>
      <c r="E26" s="164">
        <f t="shared" si="9"/>
        <v>0</v>
      </c>
      <c r="F26" s="164">
        <f t="shared" si="9"/>
        <v>0</v>
      </c>
      <c r="G26" s="164">
        <f t="shared" si="9"/>
        <v>0</v>
      </c>
      <c r="H26" s="164">
        <f t="shared" si="9"/>
        <v>0</v>
      </c>
      <c r="I26" s="164">
        <f t="shared" si="9"/>
        <v>0</v>
      </c>
      <c r="J26" s="164">
        <f t="shared" si="9"/>
        <v>0</v>
      </c>
      <c r="K26" s="164">
        <f t="shared" si="9"/>
        <v>0</v>
      </c>
      <c r="L26" s="164">
        <f t="shared" si="9"/>
        <v>0</v>
      </c>
      <c r="M26" s="164">
        <f t="shared" si="9"/>
        <v>0</v>
      </c>
      <c r="N26" s="164">
        <f t="shared" si="9"/>
        <v>0</v>
      </c>
      <c r="P26" s="515" t="s">
        <v>136</v>
      </c>
      <c r="Q26" s="515"/>
      <c r="R26" s="157">
        <f>DATE($S$1-75,5,1)</f>
        <v>18749</v>
      </c>
      <c r="S26" s="158">
        <f>DATE($S$1-74,4,30)</f>
        <v>19114</v>
      </c>
      <c r="T26" s="516" t="s">
        <v>269</v>
      </c>
    </row>
    <row r="27" spans="1:20" ht="16.2" customHeight="1">
      <c r="A27" s="514"/>
      <c r="B27" s="139" t="s">
        <v>105</v>
      </c>
      <c r="C27" s="139">
        <f t="shared" si="9"/>
        <v>0</v>
      </c>
      <c r="D27" s="139">
        <f t="shared" si="9"/>
        <v>0</v>
      </c>
      <c r="E27" s="139">
        <f t="shared" si="9"/>
        <v>0</v>
      </c>
      <c r="F27" s="139">
        <f t="shared" si="9"/>
        <v>0</v>
      </c>
      <c r="G27" s="139">
        <f t="shared" si="9"/>
        <v>0</v>
      </c>
      <c r="H27" s="139">
        <f t="shared" si="9"/>
        <v>0</v>
      </c>
      <c r="I27" s="139">
        <f t="shared" si="9"/>
        <v>0</v>
      </c>
      <c r="J27" s="139">
        <f t="shared" si="9"/>
        <v>0</v>
      </c>
      <c r="K27" s="139">
        <f t="shared" si="9"/>
        <v>0</v>
      </c>
      <c r="L27" s="139">
        <f t="shared" si="9"/>
        <v>0</v>
      </c>
      <c r="M27" s="139">
        <f t="shared" si="9"/>
        <v>0</v>
      </c>
      <c r="N27" s="139">
        <f t="shared" si="9"/>
        <v>0</v>
      </c>
      <c r="P27" s="515"/>
      <c r="Q27" s="515"/>
      <c r="R27" s="163" t="str">
        <f t="shared" ref="R27:S27" si="10">"("&amp;TEXT(R26,"ge.m.ｄ")&amp;")"</f>
        <v>(S26.5.1)</v>
      </c>
      <c r="S27" s="161" t="str">
        <f t="shared" si="10"/>
        <v>(S27.4.30)</v>
      </c>
      <c r="T27" s="516"/>
    </row>
    <row r="28" spans="1:20" ht="16.2" customHeight="1">
      <c r="A28" s="514"/>
      <c r="B28" s="131" t="s">
        <v>108</v>
      </c>
      <c r="C28" s="131">
        <f t="shared" si="9"/>
        <v>0</v>
      </c>
      <c r="D28" s="131">
        <f t="shared" si="9"/>
        <v>0</v>
      </c>
      <c r="E28" s="131">
        <f t="shared" si="9"/>
        <v>0</v>
      </c>
      <c r="F28" s="131">
        <f t="shared" si="9"/>
        <v>0</v>
      </c>
      <c r="G28" s="131">
        <f t="shared" si="9"/>
        <v>0</v>
      </c>
      <c r="H28" s="131">
        <f t="shared" si="9"/>
        <v>0</v>
      </c>
      <c r="I28" s="131">
        <f t="shared" si="9"/>
        <v>0</v>
      </c>
      <c r="J28" s="131">
        <f t="shared" si="9"/>
        <v>0</v>
      </c>
      <c r="K28" s="131">
        <f t="shared" si="9"/>
        <v>0</v>
      </c>
      <c r="L28" s="131">
        <f t="shared" si="9"/>
        <v>0</v>
      </c>
      <c r="M28" s="131">
        <f t="shared" si="9"/>
        <v>0</v>
      </c>
      <c r="N28" s="131">
        <f t="shared" si="9"/>
        <v>0</v>
      </c>
    </row>
    <row r="29" spans="1:20" ht="16.2" customHeight="1">
      <c r="A29" s="514"/>
      <c r="B29" s="139" t="s">
        <v>110</v>
      </c>
      <c r="C29" s="139">
        <f t="shared" si="9"/>
        <v>0</v>
      </c>
      <c r="D29" s="139">
        <f t="shared" si="9"/>
        <v>0</v>
      </c>
      <c r="E29" s="139">
        <f t="shared" si="9"/>
        <v>0</v>
      </c>
      <c r="F29" s="139">
        <f t="shared" si="9"/>
        <v>0</v>
      </c>
      <c r="G29" s="139">
        <f t="shared" si="9"/>
        <v>0</v>
      </c>
      <c r="H29" s="139">
        <f t="shared" si="9"/>
        <v>0</v>
      </c>
      <c r="I29" s="139">
        <f t="shared" si="9"/>
        <v>0</v>
      </c>
      <c r="J29" s="139">
        <f t="shared" si="9"/>
        <v>0</v>
      </c>
      <c r="K29" s="139">
        <f t="shared" si="9"/>
        <v>0</v>
      </c>
      <c r="L29" s="139">
        <f t="shared" si="9"/>
        <v>0</v>
      </c>
      <c r="M29" s="139">
        <f t="shared" si="9"/>
        <v>0</v>
      </c>
      <c r="N29" s="139">
        <f t="shared" si="9"/>
        <v>0</v>
      </c>
    </row>
    <row r="30" spans="1:20" ht="16.2" customHeight="1">
      <c r="A30" s="514"/>
      <c r="B30" s="131" t="s">
        <v>111</v>
      </c>
      <c r="C30" s="131">
        <f t="shared" si="9"/>
        <v>0</v>
      </c>
      <c r="D30" s="131">
        <f t="shared" si="9"/>
        <v>0</v>
      </c>
      <c r="E30" s="131">
        <f t="shared" si="9"/>
        <v>0</v>
      </c>
      <c r="F30" s="131">
        <f t="shared" si="9"/>
        <v>0</v>
      </c>
      <c r="G30" s="131">
        <f t="shared" si="9"/>
        <v>0</v>
      </c>
      <c r="H30" s="131">
        <f t="shared" si="9"/>
        <v>0</v>
      </c>
      <c r="I30" s="131">
        <f t="shared" si="9"/>
        <v>0</v>
      </c>
      <c r="J30" s="131">
        <f t="shared" si="9"/>
        <v>0</v>
      </c>
      <c r="K30" s="131">
        <f t="shared" si="9"/>
        <v>0</v>
      </c>
      <c r="L30" s="131">
        <f t="shared" si="9"/>
        <v>0</v>
      </c>
      <c r="M30" s="131">
        <f t="shared" si="9"/>
        <v>0</v>
      </c>
      <c r="N30" s="131">
        <f t="shared" si="9"/>
        <v>0</v>
      </c>
    </row>
    <row r="31" spans="1:20" ht="16.2" customHeight="1">
      <c r="A31" s="514"/>
      <c r="B31" s="139" t="s">
        <v>112</v>
      </c>
      <c r="C31" s="139">
        <f t="shared" si="9"/>
        <v>0</v>
      </c>
      <c r="D31" s="139">
        <f t="shared" si="9"/>
        <v>0</v>
      </c>
      <c r="E31" s="139">
        <f t="shared" si="9"/>
        <v>0</v>
      </c>
      <c r="F31" s="139">
        <f t="shared" si="9"/>
        <v>0</v>
      </c>
      <c r="G31" s="139">
        <f t="shared" si="9"/>
        <v>0</v>
      </c>
      <c r="H31" s="139">
        <f t="shared" si="9"/>
        <v>0</v>
      </c>
      <c r="I31" s="139">
        <f t="shared" si="9"/>
        <v>0</v>
      </c>
      <c r="J31" s="139">
        <f t="shared" si="9"/>
        <v>0</v>
      </c>
      <c r="K31" s="139">
        <f t="shared" si="9"/>
        <v>0</v>
      </c>
      <c r="L31" s="139">
        <f t="shared" si="9"/>
        <v>0</v>
      </c>
      <c r="M31" s="139">
        <f t="shared" si="9"/>
        <v>0</v>
      </c>
      <c r="N31" s="139">
        <f t="shared" si="9"/>
        <v>0</v>
      </c>
    </row>
    <row r="32" spans="1:20" ht="16.2" customHeight="1">
      <c r="A32" s="517" t="s">
        <v>137</v>
      </c>
      <c r="B32" s="517"/>
      <c r="C32" s="170">
        <f>IF($N$18=1,$N$15,IF($M$18=1,$M$15,IF($L$18=1,$L$15,IF($K$18=1,$K$15,IF($J$18=1,$J$15,IF($I$18=1,$I$15,IF($H$18=1,$H$15,IF($G$18=1,$G$15,IF($F$18=1,$F$15,IF($E$18=1,$E$15,IF($D$18=1,$D$15,$C$15)))))))))))</f>
        <v>46113</v>
      </c>
      <c r="D32" s="170">
        <f t="shared" ref="D32:N32" si="11">IF($N$18=1,$N$15,IF($M$18=1,$M$15,IF($L$18=1,$L$15,IF($K$18=1,$K$15,IF($J$18=1,$J$15,IF($I$18=1,$I$15,IF($H$18=1,$H$15,IF($G$18=1,$G$15,IF($F$18=1,$F$15,IF($E$18=1,$E$15,IF($D$18=1,$D$15,$C$15)))))))))))</f>
        <v>46113</v>
      </c>
      <c r="E32" s="170">
        <f t="shared" si="11"/>
        <v>46113</v>
      </c>
      <c r="F32" s="170">
        <f t="shared" si="11"/>
        <v>46113</v>
      </c>
      <c r="G32" s="170">
        <f t="shared" si="11"/>
        <v>46113</v>
      </c>
      <c r="H32" s="170">
        <f t="shared" si="11"/>
        <v>46113</v>
      </c>
      <c r="I32" s="170">
        <f t="shared" si="11"/>
        <v>46113</v>
      </c>
      <c r="J32" s="170">
        <f t="shared" si="11"/>
        <v>46113</v>
      </c>
      <c r="K32" s="170">
        <f t="shared" si="11"/>
        <v>46113</v>
      </c>
      <c r="L32" s="170">
        <f t="shared" si="11"/>
        <v>46113</v>
      </c>
      <c r="M32" s="170">
        <f t="shared" si="11"/>
        <v>46113</v>
      </c>
      <c r="N32" s="170">
        <f t="shared" si="11"/>
        <v>46113</v>
      </c>
    </row>
    <row r="33" spans="1:20" ht="16.2" customHeight="1">
      <c r="A33" s="171"/>
      <c r="B33" s="171"/>
    </row>
    <row r="34" spans="1:20" ht="27" customHeight="1">
      <c r="A34" s="17" t="s">
        <v>138</v>
      </c>
      <c r="P34" s="1"/>
      <c r="Q34" s="1"/>
    </row>
    <row r="35" spans="1:20" ht="21" customHeight="1">
      <c r="A35" s="172" t="s">
        <v>139</v>
      </c>
      <c r="O35" s="1"/>
      <c r="P35" s="172"/>
      <c r="Q35" s="172" t="s">
        <v>140</v>
      </c>
    </row>
    <row r="36" spans="1:20" ht="36" customHeight="1">
      <c r="A36" s="518"/>
      <c r="B36" s="506" t="s">
        <v>141</v>
      </c>
      <c r="C36" s="519" t="s">
        <v>251</v>
      </c>
      <c r="D36" s="520" t="s">
        <v>142</v>
      </c>
      <c r="E36" s="519" t="s">
        <v>143</v>
      </c>
      <c r="F36" s="506" t="s">
        <v>144</v>
      </c>
      <c r="G36" s="506" t="s">
        <v>145</v>
      </c>
      <c r="H36" s="506" t="s">
        <v>146</v>
      </c>
      <c r="I36" s="523" t="s">
        <v>147</v>
      </c>
      <c r="J36" s="520" t="s">
        <v>148</v>
      </c>
      <c r="K36" s="506" t="s">
        <v>149</v>
      </c>
      <c r="L36" s="506" t="s">
        <v>150</v>
      </c>
      <c r="M36" s="506" t="s">
        <v>151</v>
      </c>
      <c r="N36" s="506" t="s">
        <v>152</v>
      </c>
      <c r="O36" s="506" t="s">
        <v>153</v>
      </c>
      <c r="Q36" s="508"/>
      <c r="R36" s="522" t="s">
        <v>154</v>
      </c>
      <c r="S36" s="522"/>
      <c r="T36" s="520" t="s">
        <v>148</v>
      </c>
    </row>
    <row r="37" spans="1:20" ht="36" customHeight="1">
      <c r="A37" s="518"/>
      <c r="B37" s="506"/>
      <c r="C37" s="519"/>
      <c r="D37" s="521"/>
      <c r="E37" s="519"/>
      <c r="F37" s="506"/>
      <c r="G37" s="506"/>
      <c r="H37" s="506"/>
      <c r="I37" s="524"/>
      <c r="J37" s="521"/>
      <c r="K37" s="506"/>
      <c r="L37" s="507"/>
      <c r="M37" s="507"/>
      <c r="N37" s="507"/>
      <c r="O37" s="507"/>
      <c r="Q37" s="509"/>
      <c r="R37" s="173" t="s">
        <v>155</v>
      </c>
      <c r="S37" s="174" t="s">
        <v>156</v>
      </c>
      <c r="T37" s="521"/>
    </row>
    <row r="38" spans="1:20" ht="15" customHeight="1">
      <c r="A38" s="131" t="s">
        <v>10</v>
      </c>
      <c r="B38" s="175">
        <f>IF(OR(B5="加入しない",C5&lt;$R$26,C5=""),0,1)</f>
        <v>0</v>
      </c>
      <c r="C38" s="176">
        <f>COUNTIF(C5,"&lt;="&amp;$S$16)</f>
        <v>0</v>
      </c>
      <c r="D38" s="175">
        <f>IF(B38=0,0,COUNTIFS(C5,"&gt;="&amp;$R$24,C5,"&lt;="&amp;$S$22))</f>
        <v>0</v>
      </c>
      <c r="E38" s="176">
        <f t="shared" ref="E38:E43" si="12">IF(B38=0,0,COUNTIF(C5,"&lt;="&amp;$R$20))</f>
        <v>0</v>
      </c>
      <c r="F38" s="175">
        <f t="shared" ref="F38:F43" si="13">COUNTIF(C5,"&gt;="&amp;$R$18)</f>
        <v>0</v>
      </c>
      <c r="G38" s="175">
        <f>IF(B38=0,0,IF(G5="○",1,0))</f>
        <v>0</v>
      </c>
      <c r="H38" s="175">
        <f>給与所得算出!D16</f>
        <v>0</v>
      </c>
      <c r="I38" s="177">
        <f>IF(G38=1,ROUNDDOWN(H38/100*30,0),0)</f>
        <v>0</v>
      </c>
      <c r="J38" s="175">
        <f>T38</f>
        <v>0</v>
      </c>
      <c r="K38" s="175">
        <f>IF(G38=1,I38-J38,H38-J38)</f>
        <v>0</v>
      </c>
      <c r="L38" s="175">
        <f>年金所得算出!E25</f>
        <v>0</v>
      </c>
      <c r="M38" s="175">
        <f t="shared" ref="M38:M43" si="14">F5</f>
        <v>0</v>
      </c>
      <c r="N38" s="175">
        <f>K38+L38+M38</f>
        <v>0</v>
      </c>
      <c r="O38" s="175">
        <f>IF(N38&lt;=430000,0,N38-430000)</f>
        <v>0</v>
      </c>
      <c r="Q38" s="131" t="s">
        <v>10</v>
      </c>
      <c r="R38" s="178">
        <f t="shared" ref="R38:R43" si="15">IF(G38=1,IF(I38&gt;100000,100000,I38),IF(H38&gt;100000,100000,H38))</f>
        <v>0</v>
      </c>
      <c r="S38" s="178">
        <f>IF(L38&gt;100000,100000,L38)</f>
        <v>0</v>
      </c>
      <c r="T38" s="178">
        <f>IF((R38+S38)&gt;=100000,R38+S38-100000,0)</f>
        <v>0</v>
      </c>
    </row>
    <row r="39" spans="1:20" ht="15" customHeight="1">
      <c r="A39" s="139" t="s">
        <v>17</v>
      </c>
      <c r="B39" s="179">
        <f t="shared" ref="B39:B43" si="16">IF(OR(B6="加入しない",C6&lt;$R$26,C6=""),0,1)</f>
        <v>0</v>
      </c>
      <c r="C39" s="180">
        <f>COUNTIF(C6,"&lt;="&amp;$S$16)</f>
        <v>0</v>
      </c>
      <c r="D39" s="179">
        <f t="shared" ref="D39:D43" si="17">IF(B39=0,0,COUNTIFS(C6,"&gt;="&amp;$R$24,C6,"&lt;="&amp;$S$22))</f>
        <v>0</v>
      </c>
      <c r="E39" s="180">
        <f t="shared" si="12"/>
        <v>0</v>
      </c>
      <c r="F39" s="179">
        <f t="shared" si="13"/>
        <v>0</v>
      </c>
      <c r="G39" s="179">
        <f t="shared" ref="G39:G42" si="18">IF(B39=0,0,IF(G6="○",1,0))</f>
        <v>0</v>
      </c>
      <c r="H39" s="179">
        <f>給与所得算出!D17</f>
        <v>0</v>
      </c>
      <c r="I39" s="179">
        <f t="shared" ref="I39:I43" si="19">IF(G39=1,ROUNDDOWN(H39/100*30,0),0)</f>
        <v>0</v>
      </c>
      <c r="J39" s="179">
        <f t="shared" ref="J39:J43" si="20">T39</f>
        <v>0</v>
      </c>
      <c r="K39" s="179">
        <f t="shared" ref="K39:K43" si="21">IF(G39=1,I39-J39,H39-J39)</f>
        <v>0</v>
      </c>
      <c r="L39" s="179">
        <f>年金所得算出!E26</f>
        <v>0</v>
      </c>
      <c r="M39" s="179">
        <f t="shared" si="14"/>
        <v>0</v>
      </c>
      <c r="N39" s="179">
        <f>K39+L39+M39</f>
        <v>0</v>
      </c>
      <c r="O39" s="179">
        <f>IF(N39&lt;=430000,0,N39-430000)</f>
        <v>0</v>
      </c>
      <c r="Q39" s="139" t="s">
        <v>17</v>
      </c>
      <c r="R39" s="181">
        <f t="shared" si="15"/>
        <v>0</v>
      </c>
      <c r="S39" s="181">
        <f t="shared" ref="S39:S43" si="22">IF(L39&gt;100000,100000,L39)</f>
        <v>0</v>
      </c>
      <c r="T39" s="181">
        <f t="shared" ref="T39:T43" si="23">IF((R39+S39)&gt;=100000,R39+S39-100000,0)</f>
        <v>0</v>
      </c>
    </row>
    <row r="40" spans="1:20" ht="15" customHeight="1">
      <c r="A40" s="131" t="s">
        <v>19</v>
      </c>
      <c r="B40" s="175">
        <f t="shared" si="16"/>
        <v>0</v>
      </c>
      <c r="C40" s="176">
        <f t="shared" ref="C40:C43" si="24">COUNTIF(C7,"&lt;="&amp;$S$16)</f>
        <v>0</v>
      </c>
      <c r="D40" s="175">
        <f t="shared" si="17"/>
        <v>0</v>
      </c>
      <c r="E40" s="176">
        <f t="shared" si="12"/>
        <v>0</v>
      </c>
      <c r="F40" s="175">
        <f t="shared" si="13"/>
        <v>0</v>
      </c>
      <c r="G40" s="175">
        <f t="shared" si="18"/>
        <v>0</v>
      </c>
      <c r="H40" s="175">
        <f>給与所得算出!D18</f>
        <v>0</v>
      </c>
      <c r="I40" s="175">
        <f t="shared" si="19"/>
        <v>0</v>
      </c>
      <c r="J40" s="175">
        <f t="shared" si="20"/>
        <v>0</v>
      </c>
      <c r="K40" s="175">
        <f t="shared" si="21"/>
        <v>0</v>
      </c>
      <c r="L40" s="175">
        <f>年金所得算出!E27</f>
        <v>0</v>
      </c>
      <c r="M40" s="175">
        <f t="shared" si="14"/>
        <v>0</v>
      </c>
      <c r="N40" s="175">
        <f t="shared" ref="N40:N43" si="25">K40+L40+M40</f>
        <v>0</v>
      </c>
      <c r="O40" s="175">
        <f>IF(N40&lt;=430000,0,N40-430000)</f>
        <v>0</v>
      </c>
      <c r="Q40" s="131" t="s">
        <v>19</v>
      </c>
      <c r="R40" s="178">
        <f t="shared" si="15"/>
        <v>0</v>
      </c>
      <c r="S40" s="178">
        <f t="shared" si="22"/>
        <v>0</v>
      </c>
      <c r="T40" s="178">
        <f t="shared" si="23"/>
        <v>0</v>
      </c>
    </row>
    <row r="41" spans="1:20" ht="15" customHeight="1">
      <c r="A41" s="139" t="s">
        <v>20</v>
      </c>
      <c r="B41" s="179">
        <f t="shared" si="16"/>
        <v>0</v>
      </c>
      <c r="C41" s="180">
        <f t="shared" si="24"/>
        <v>0</v>
      </c>
      <c r="D41" s="179">
        <f t="shared" si="17"/>
        <v>0</v>
      </c>
      <c r="E41" s="180">
        <f t="shared" si="12"/>
        <v>0</v>
      </c>
      <c r="F41" s="179">
        <f t="shared" si="13"/>
        <v>0</v>
      </c>
      <c r="G41" s="179">
        <f t="shared" si="18"/>
        <v>0</v>
      </c>
      <c r="H41" s="179">
        <f>給与所得算出!D19</f>
        <v>0</v>
      </c>
      <c r="I41" s="179">
        <f t="shared" si="19"/>
        <v>0</v>
      </c>
      <c r="J41" s="179">
        <f t="shared" si="20"/>
        <v>0</v>
      </c>
      <c r="K41" s="179">
        <f t="shared" si="21"/>
        <v>0</v>
      </c>
      <c r="L41" s="179">
        <f>年金所得算出!E28</f>
        <v>0</v>
      </c>
      <c r="M41" s="179">
        <f t="shared" si="14"/>
        <v>0</v>
      </c>
      <c r="N41" s="179">
        <f t="shared" si="25"/>
        <v>0</v>
      </c>
      <c r="O41" s="179">
        <f t="shared" ref="O41:O43" si="26">IF(N41&lt;=430000,0,N41-430000)</f>
        <v>0</v>
      </c>
      <c r="Q41" s="139" t="s">
        <v>20</v>
      </c>
      <c r="R41" s="181">
        <f t="shared" si="15"/>
        <v>0</v>
      </c>
      <c r="S41" s="181">
        <f t="shared" si="22"/>
        <v>0</v>
      </c>
      <c r="T41" s="181">
        <f t="shared" si="23"/>
        <v>0</v>
      </c>
    </row>
    <row r="42" spans="1:20" ht="15" customHeight="1">
      <c r="A42" s="131" t="s">
        <v>21</v>
      </c>
      <c r="B42" s="175">
        <f t="shared" si="16"/>
        <v>0</v>
      </c>
      <c r="C42" s="176">
        <f t="shared" si="24"/>
        <v>0</v>
      </c>
      <c r="D42" s="175">
        <f t="shared" si="17"/>
        <v>0</v>
      </c>
      <c r="E42" s="176">
        <f t="shared" si="12"/>
        <v>0</v>
      </c>
      <c r="F42" s="175">
        <f t="shared" si="13"/>
        <v>0</v>
      </c>
      <c r="G42" s="175">
        <f t="shared" si="18"/>
        <v>0</v>
      </c>
      <c r="H42" s="175">
        <f>給与所得算出!D20</f>
        <v>0</v>
      </c>
      <c r="I42" s="175">
        <f>IF(G42=1,ROUNDDOWN(H42/100*30,0),0)</f>
        <v>0</v>
      </c>
      <c r="J42" s="175">
        <f t="shared" si="20"/>
        <v>0</v>
      </c>
      <c r="K42" s="175">
        <f t="shared" si="21"/>
        <v>0</v>
      </c>
      <c r="L42" s="175">
        <f>年金所得算出!E29</f>
        <v>0</v>
      </c>
      <c r="M42" s="175">
        <f t="shared" si="14"/>
        <v>0</v>
      </c>
      <c r="N42" s="175">
        <f t="shared" si="25"/>
        <v>0</v>
      </c>
      <c r="O42" s="175">
        <f t="shared" si="26"/>
        <v>0</v>
      </c>
      <c r="Q42" s="131" t="s">
        <v>21</v>
      </c>
      <c r="R42" s="178">
        <f t="shared" si="15"/>
        <v>0</v>
      </c>
      <c r="S42" s="178">
        <f t="shared" si="22"/>
        <v>0</v>
      </c>
      <c r="T42" s="178">
        <f t="shared" si="23"/>
        <v>0</v>
      </c>
    </row>
    <row r="43" spans="1:20" ht="15" customHeight="1" thickBot="1">
      <c r="A43" s="168" t="s">
        <v>22</v>
      </c>
      <c r="B43" s="182">
        <f t="shared" si="16"/>
        <v>0</v>
      </c>
      <c r="C43" s="183">
        <f t="shared" si="24"/>
        <v>0</v>
      </c>
      <c r="D43" s="182">
        <f t="shared" si="17"/>
        <v>0</v>
      </c>
      <c r="E43" s="183">
        <f t="shared" si="12"/>
        <v>0</v>
      </c>
      <c r="F43" s="182">
        <f t="shared" si="13"/>
        <v>0</v>
      </c>
      <c r="G43" s="182">
        <f>IF(B43=0,0,IF(G10="○",1,0))</f>
        <v>0</v>
      </c>
      <c r="H43" s="182">
        <f>給与所得算出!D21</f>
        <v>0</v>
      </c>
      <c r="I43" s="182">
        <f t="shared" si="19"/>
        <v>0</v>
      </c>
      <c r="J43" s="182">
        <f t="shared" si="20"/>
        <v>0</v>
      </c>
      <c r="K43" s="182">
        <f t="shared" si="21"/>
        <v>0</v>
      </c>
      <c r="L43" s="182">
        <f>年金所得算出!E30</f>
        <v>0</v>
      </c>
      <c r="M43" s="182">
        <f t="shared" si="14"/>
        <v>0</v>
      </c>
      <c r="N43" s="182">
        <f t="shared" si="25"/>
        <v>0</v>
      </c>
      <c r="O43" s="182">
        <f t="shared" si="26"/>
        <v>0</v>
      </c>
      <c r="Q43" s="139" t="s">
        <v>22</v>
      </c>
      <c r="R43" s="181">
        <f t="shared" si="15"/>
        <v>0</v>
      </c>
      <c r="S43" s="181">
        <f t="shared" si="22"/>
        <v>0</v>
      </c>
      <c r="T43" s="181">
        <f t="shared" si="23"/>
        <v>0</v>
      </c>
    </row>
    <row r="44" spans="1:20" ht="15" customHeight="1" thickTop="1">
      <c r="A44" s="164" t="s">
        <v>43</v>
      </c>
      <c r="B44" s="184">
        <f>SUM(B38:B43)</f>
        <v>0</v>
      </c>
      <c r="C44" s="185">
        <f t="shared" ref="C44:E44" si="27">SUM(C38:C43)</f>
        <v>0</v>
      </c>
      <c r="D44" s="184">
        <f t="shared" si="27"/>
        <v>0</v>
      </c>
      <c r="E44" s="185">
        <f t="shared" si="27"/>
        <v>0</v>
      </c>
      <c r="F44" s="186">
        <f>SUM(F38:F43)</f>
        <v>0</v>
      </c>
      <c r="G44" s="187"/>
      <c r="H44" s="188"/>
      <c r="I44" s="188"/>
      <c r="J44" s="188"/>
      <c r="K44" s="188"/>
      <c r="L44" s="188"/>
      <c r="M44" s="188"/>
      <c r="N44" s="189">
        <f>SUM(N38:N43)</f>
        <v>0</v>
      </c>
      <c r="O44" s="189">
        <f>SUM(O38:O43)</f>
        <v>0</v>
      </c>
    </row>
    <row r="46" spans="1:20" ht="23.25" customHeight="1">
      <c r="A46" s="17" t="s">
        <v>157</v>
      </c>
    </row>
    <row r="47" spans="1:20" ht="23.25" customHeight="1">
      <c r="A47" s="172" t="s">
        <v>158</v>
      </c>
      <c r="O47" s="172" t="s">
        <v>140</v>
      </c>
    </row>
    <row r="48" spans="1:20" ht="35.1" customHeight="1">
      <c r="A48" s="510"/>
      <c r="B48" s="481" t="s">
        <v>141</v>
      </c>
      <c r="C48" s="481" t="s">
        <v>255</v>
      </c>
      <c r="D48" s="481" t="s">
        <v>256</v>
      </c>
      <c r="E48" s="481" t="s">
        <v>257</v>
      </c>
      <c r="F48" s="481" t="s">
        <v>258</v>
      </c>
      <c r="G48" s="481" t="s">
        <v>259</v>
      </c>
      <c r="H48" s="511" t="s">
        <v>260</v>
      </c>
      <c r="I48" s="481" t="s">
        <v>261</v>
      </c>
      <c r="J48" s="481" t="s">
        <v>262</v>
      </c>
      <c r="K48" s="481" t="s">
        <v>263</v>
      </c>
      <c r="L48" s="488" t="s">
        <v>264</v>
      </c>
      <c r="M48" s="489" t="s">
        <v>265</v>
      </c>
      <c r="N48" s="481" t="s">
        <v>266</v>
      </c>
      <c r="O48" s="489" t="s">
        <v>267</v>
      </c>
      <c r="P48" s="190"/>
      <c r="Q48" s="496"/>
      <c r="R48" s="486" t="s">
        <v>154</v>
      </c>
      <c r="S48" s="486"/>
      <c r="T48" s="481" t="s">
        <v>261</v>
      </c>
    </row>
    <row r="49" spans="1:20" ht="40.200000000000003" customHeight="1">
      <c r="A49" s="510"/>
      <c r="B49" s="482"/>
      <c r="C49" s="482"/>
      <c r="D49" s="482"/>
      <c r="E49" s="482"/>
      <c r="F49" s="482"/>
      <c r="G49" s="482"/>
      <c r="H49" s="512"/>
      <c r="I49" s="482"/>
      <c r="J49" s="482"/>
      <c r="K49" s="487"/>
      <c r="L49" s="488"/>
      <c r="M49" s="489"/>
      <c r="N49" s="487"/>
      <c r="O49" s="489"/>
      <c r="P49" s="190"/>
      <c r="Q49" s="497"/>
      <c r="R49" s="191" t="s">
        <v>159</v>
      </c>
      <c r="S49" s="192" t="s">
        <v>156</v>
      </c>
      <c r="T49" s="482"/>
    </row>
    <row r="50" spans="1:20" ht="15" customHeight="1">
      <c r="A50" s="131" t="s">
        <v>10</v>
      </c>
      <c r="B50" s="193">
        <f>B38</f>
        <v>0</v>
      </c>
      <c r="C50" s="193">
        <f>D5</f>
        <v>0</v>
      </c>
      <c r="D50" s="193">
        <f>E5</f>
        <v>0</v>
      </c>
      <c r="E50" s="193">
        <f t="shared" ref="E50:E55" si="28">C38</f>
        <v>0</v>
      </c>
      <c r="F50" s="193">
        <f t="shared" ref="F50:G55" si="29">G38</f>
        <v>0</v>
      </c>
      <c r="G50" s="177">
        <f t="shared" si="29"/>
        <v>0</v>
      </c>
      <c r="H50" s="177">
        <f>IF(F50=1,ROUNDDOWN(G50/100*30,0),0)</f>
        <v>0</v>
      </c>
      <c r="I50" s="193">
        <f t="shared" ref="I50:I55" si="30">T50</f>
        <v>0</v>
      </c>
      <c r="J50" s="193">
        <f>IF(F50=1,H50-I50,G50-I50)</f>
        <v>0</v>
      </c>
      <c r="K50" s="193">
        <f t="shared" ref="K50:K55" si="31">L38</f>
        <v>0</v>
      </c>
      <c r="L50" s="193">
        <f t="shared" ref="L50:L55" si="32">IF(E50=1,IF(K50&gt;150000,150000,K50),0)</f>
        <v>0</v>
      </c>
      <c r="M50" s="193">
        <f>K50-L50</f>
        <v>0</v>
      </c>
      <c r="N50" s="193">
        <f t="shared" ref="N50:N55" si="33">F5</f>
        <v>0</v>
      </c>
      <c r="O50" s="175">
        <f>J50+M50+N50</f>
        <v>0</v>
      </c>
      <c r="P50" s="194"/>
      <c r="Q50" s="131" t="s">
        <v>10</v>
      </c>
      <c r="R50" s="178">
        <f>IF(F50=1,IF(H50&gt;100000,100000,H50),IF(G50&gt;100000,100000,G50))</f>
        <v>0</v>
      </c>
      <c r="S50" s="178">
        <f t="shared" ref="S50:S55" si="34">IF(M50&gt;100000,100000,M50)</f>
        <v>0</v>
      </c>
      <c r="T50" s="178">
        <f>IF((R50+S50)&gt;=100000,R50+S50-100000,0)</f>
        <v>0</v>
      </c>
    </row>
    <row r="51" spans="1:20" ht="15" customHeight="1">
      <c r="A51" s="139" t="s">
        <v>17</v>
      </c>
      <c r="B51" s="195">
        <f>B39</f>
        <v>0</v>
      </c>
      <c r="C51" s="195">
        <f t="shared" ref="C51:D51" si="35">D6</f>
        <v>0</v>
      </c>
      <c r="D51" s="195">
        <f t="shared" si="35"/>
        <v>0</v>
      </c>
      <c r="E51" s="195">
        <f t="shared" si="28"/>
        <v>0</v>
      </c>
      <c r="F51" s="195">
        <f t="shared" si="29"/>
        <v>0</v>
      </c>
      <c r="G51" s="196">
        <f t="shared" si="29"/>
        <v>0</v>
      </c>
      <c r="H51" s="196">
        <f>IF(F51=1,ROUNDDOWN(G51/100*30,0),0)</f>
        <v>0</v>
      </c>
      <c r="I51" s="195">
        <f t="shared" si="30"/>
        <v>0</v>
      </c>
      <c r="J51" s="195">
        <f t="shared" ref="J51:J55" si="36">IF(F51=1,H51-I51,G51-I51)</f>
        <v>0</v>
      </c>
      <c r="K51" s="195">
        <f t="shared" si="31"/>
        <v>0</v>
      </c>
      <c r="L51" s="195">
        <f t="shared" si="32"/>
        <v>0</v>
      </c>
      <c r="M51" s="195">
        <f t="shared" ref="M51:M55" si="37">K51-L51</f>
        <v>0</v>
      </c>
      <c r="N51" s="195">
        <f t="shared" si="33"/>
        <v>0</v>
      </c>
      <c r="O51" s="179">
        <f>IF(B51=0,0,J51+M51+N51)</f>
        <v>0</v>
      </c>
      <c r="P51" s="194"/>
      <c r="Q51" s="139" t="s">
        <v>17</v>
      </c>
      <c r="R51" s="181">
        <f>IF(F51=1,IF(H51&gt;100000,100000,H51),IF(G51&gt;100000,100000,G51))</f>
        <v>0</v>
      </c>
      <c r="S51" s="181">
        <f t="shared" si="34"/>
        <v>0</v>
      </c>
      <c r="T51" s="181">
        <f>IF((R51+S51)&gt;=100000,R51+S51-100000,0)</f>
        <v>0</v>
      </c>
    </row>
    <row r="52" spans="1:20" ht="15" customHeight="1">
      <c r="A52" s="131" t="s">
        <v>19</v>
      </c>
      <c r="B52" s="193">
        <f t="shared" ref="B52:B55" si="38">B40</f>
        <v>0</v>
      </c>
      <c r="C52" s="193">
        <f t="shared" ref="C52:D52" si="39">D7</f>
        <v>0</v>
      </c>
      <c r="D52" s="193">
        <f t="shared" si="39"/>
        <v>0</v>
      </c>
      <c r="E52" s="193">
        <f t="shared" si="28"/>
        <v>0</v>
      </c>
      <c r="F52" s="193">
        <f t="shared" si="29"/>
        <v>0</v>
      </c>
      <c r="G52" s="177">
        <f t="shared" si="29"/>
        <v>0</v>
      </c>
      <c r="H52" s="177">
        <f t="shared" ref="H52:H55" si="40">IF(F52=1,ROUNDDOWN(G52/100*30,0),0)</f>
        <v>0</v>
      </c>
      <c r="I52" s="193">
        <f t="shared" si="30"/>
        <v>0</v>
      </c>
      <c r="J52" s="193">
        <f t="shared" si="36"/>
        <v>0</v>
      </c>
      <c r="K52" s="193">
        <f t="shared" si="31"/>
        <v>0</v>
      </c>
      <c r="L52" s="193">
        <f t="shared" si="32"/>
        <v>0</v>
      </c>
      <c r="M52" s="193">
        <f t="shared" si="37"/>
        <v>0</v>
      </c>
      <c r="N52" s="193">
        <f t="shared" si="33"/>
        <v>0</v>
      </c>
      <c r="O52" s="175">
        <f>IF(B52=0,0,J52+M52+N52)</f>
        <v>0</v>
      </c>
      <c r="P52" s="197"/>
      <c r="Q52" s="131" t="s">
        <v>19</v>
      </c>
      <c r="R52" s="178">
        <f>IF(F52=1,IF(H52&gt;100000,100000,H52),IF(G52&gt;100000,100000,G52))</f>
        <v>0</v>
      </c>
      <c r="S52" s="178">
        <f t="shared" si="34"/>
        <v>0</v>
      </c>
      <c r="T52" s="178">
        <f>IF((R52+S52)&gt;=100000,R52+S52-100000,0)</f>
        <v>0</v>
      </c>
    </row>
    <row r="53" spans="1:20" ht="15" customHeight="1">
      <c r="A53" s="139" t="s">
        <v>20</v>
      </c>
      <c r="B53" s="195">
        <f>B41</f>
        <v>0</v>
      </c>
      <c r="C53" s="195">
        <f t="shared" ref="C53:D53" si="41">D8</f>
        <v>0</v>
      </c>
      <c r="D53" s="195">
        <f t="shared" si="41"/>
        <v>0</v>
      </c>
      <c r="E53" s="195">
        <f t="shared" si="28"/>
        <v>0</v>
      </c>
      <c r="F53" s="195">
        <f t="shared" si="29"/>
        <v>0</v>
      </c>
      <c r="G53" s="196">
        <f t="shared" si="29"/>
        <v>0</v>
      </c>
      <c r="H53" s="196">
        <f t="shared" si="40"/>
        <v>0</v>
      </c>
      <c r="I53" s="195">
        <f t="shared" si="30"/>
        <v>0</v>
      </c>
      <c r="J53" s="195">
        <f t="shared" si="36"/>
        <v>0</v>
      </c>
      <c r="K53" s="195">
        <f t="shared" si="31"/>
        <v>0</v>
      </c>
      <c r="L53" s="195">
        <f t="shared" si="32"/>
        <v>0</v>
      </c>
      <c r="M53" s="195">
        <f>K53-L53</f>
        <v>0</v>
      </c>
      <c r="N53" s="195">
        <f t="shared" si="33"/>
        <v>0</v>
      </c>
      <c r="O53" s="179">
        <f>IF(B53=0,0,J53+M53+N53)</f>
        <v>0</v>
      </c>
      <c r="P53" s="197"/>
      <c r="Q53" s="139" t="s">
        <v>20</v>
      </c>
      <c r="R53" s="181">
        <f t="shared" ref="R53" si="42">IF(F53=1,IF(H53&gt;100000,100000,H53),IF(G53&gt;100000,100000,G53))</f>
        <v>0</v>
      </c>
      <c r="S53" s="181">
        <f t="shared" si="34"/>
        <v>0</v>
      </c>
      <c r="T53" s="181">
        <f>IF((R53+S53)&gt;=100000,R53+S53-100000,0)</f>
        <v>0</v>
      </c>
    </row>
    <row r="54" spans="1:20" ht="15" customHeight="1">
      <c r="A54" s="131" t="s">
        <v>21</v>
      </c>
      <c r="B54" s="193">
        <f t="shared" si="38"/>
        <v>0</v>
      </c>
      <c r="C54" s="193">
        <f t="shared" ref="C54:D54" si="43">D9</f>
        <v>0</v>
      </c>
      <c r="D54" s="193">
        <f t="shared" si="43"/>
        <v>0</v>
      </c>
      <c r="E54" s="193">
        <f t="shared" si="28"/>
        <v>0</v>
      </c>
      <c r="F54" s="193">
        <f t="shared" si="29"/>
        <v>0</v>
      </c>
      <c r="G54" s="177">
        <f t="shared" si="29"/>
        <v>0</v>
      </c>
      <c r="H54" s="177">
        <f t="shared" si="40"/>
        <v>0</v>
      </c>
      <c r="I54" s="193">
        <f t="shared" si="30"/>
        <v>0</v>
      </c>
      <c r="J54" s="193">
        <f t="shared" si="36"/>
        <v>0</v>
      </c>
      <c r="K54" s="193">
        <f t="shared" si="31"/>
        <v>0</v>
      </c>
      <c r="L54" s="193">
        <f t="shared" si="32"/>
        <v>0</v>
      </c>
      <c r="M54" s="193">
        <f t="shared" si="37"/>
        <v>0</v>
      </c>
      <c r="N54" s="193">
        <f t="shared" si="33"/>
        <v>0</v>
      </c>
      <c r="O54" s="175">
        <f>IF(B54=0,0,J54+M54+N54)</f>
        <v>0</v>
      </c>
      <c r="P54" s="197"/>
      <c r="Q54" s="131" t="s">
        <v>21</v>
      </c>
      <c r="R54" s="178">
        <f>IF(F54=1,IF(H54&gt;100000,100000,H54),IF(G54&gt;100000,100000,G54))</f>
        <v>0</v>
      </c>
      <c r="S54" s="178">
        <f t="shared" si="34"/>
        <v>0</v>
      </c>
      <c r="T54" s="178">
        <f t="shared" ref="T54:T55" si="44">IF((R54+S54)&gt;=100000,R54+S54-100000,0)</f>
        <v>0</v>
      </c>
    </row>
    <row r="55" spans="1:20" ht="15" customHeight="1" thickBot="1">
      <c r="A55" s="168" t="s">
        <v>22</v>
      </c>
      <c r="B55" s="198">
        <f t="shared" si="38"/>
        <v>0</v>
      </c>
      <c r="C55" s="198">
        <f>D10</f>
        <v>0</v>
      </c>
      <c r="D55" s="198">
        <f>E10</f>
        <v>0</v>
      </c>
      <c r="E55" s="198">
        <f t="shared" si="28"/>
        <v>0</v>
      </c>
      <c r="F55" s="198">
        <f t="shared" si="29"/>
        <v>0</v>
      </c>
      <c r="G55" s="199">
        <f t="shared" si="29"/>
        <v>0</v>
      </c>
      <c r="H55" s="199">
        <f t="shared" si="40"/>
        <v>0</v>
      </c>
      <c r="I55" s="198">
        <f t="shared" si="30"/>
        <v>0</v>
      </c>
      <c r="J55" s="198">
        <f t="shared" si="36"/>
        <v>0</v>
      </c>
      <c r="K55" s="198">
        <f t="shared" si="31"/>
        <v>0</v>
      </c>
      <c r="L55" s="198">
        <f t="shared" si="32"/>
        <v>0</v>
      </c>
      <c r="M55" s="198">
        <f t="shared" si="37"/>
        <v>0</v>
      </c>
      <c r="N55" s="198">
        <f t="shared" si="33"/>
        <v>0</v>
      </c>
      <c r="O55" s="182">
        <f>IF(B55=0,0,J55+M55+N55)</f>
        <v>0</v>
      </c>
      <c r="P55" s="197"/>
      <c r="Q55" s="139" t="s">
        <v>22</v>
      </c>
      <c r="R55" s="181">
        <f>IF(F55=1,IF(H55&gt;100000,100000,H55),IF(G55&gt;100000,100000,G55))</f>
        <v>0</v>
      </c>
      <c r="S55" s="181">
        <f t="shared" si="34"/>
        <v>0</v>
      </c>
      <c r="T55" s="181">
        <f t="shared" si="44"/>
        <v>0</v>
      </c>
    </row>
    <row r="56" spans="1:20" ht="15" customHeight="1" thickTop="1">
      <c r="A56" s="164" t="s">
        <v>43</v>
      </c>
      <c r="B56" s="184">
        <f>SUM(B50:B55)</f>
        <v>0</v>
      </c>
      <c r="C56" s="187"/>
      <c r="D56" s="187"/>
      <c r="E56" s="187"/>
      <c r="F56" s="187"/>
      <c r="G56" s="187"/>
      <c r="H56" s="187"/>
      <c r="I56" s="187"/>
      <c r="J56" s="187"/>
      <c r="K56" s="187"/>
      <c r="L56" s="187"/>
      <c r="M56" s="187"/>
      <c r="N56" s="187"/>
      <c r="O56" s="184">
        <f>SUM(O50:O55)</f>
        <v>0</v>
      </c>
      <c r="P56" s="200"/>
    </row>
    <row r="57" spans="1:20" ht="16.5" customHeight="1">
      <c r="J57" s="201"/>
      <c r="K57" s="201"/>
    </row>
    <row r="58" spans="1:20" ht="19.2" customHeight="1" thickBot="1">
      <c r="A58" s="172" t="s">
        <v>160</v>
      </c>
      <c r="G58" s="172" t="s">
        <v>161</v>
      </c>
      <c r="K58" s="202"/>
      <c r="L58" s="203"/>
    </row>
    <row r="59" spans="1:20" ht="20.7" customHeight="1" thickTop="1">
      <c r="A59" s="496"/>
      <c r="B59" s="498" t="s">
        <v>268</v>
      </c>
      <c r="C59" s="500" t="s">
        <v>162</v>
      </c>
      <c r="D59" s="501"/>
      <c r="E59" s="502"/>
      <c r="G59" s="503" t="s">
        <v>163</v>
      </c>
      <c r="H59" s="505" t="s">
        <v>164</v>
      </c>
      <c r="I59" s="486" t="s">
        <v>165</v>
      </c>
      <c r="J59" s="486"/>
      <c r="K59" s="486"/>
      <c r="L59" s="486"/>
      <c r="M59" s="475" t="s">
        <v>166</v>
      </c>
      <c r="N59" s="476"/>
      <c r="O59" s="476"/>
      <c r="P59" s="476"/>
      <c r="Q59" s="476"/>
      <c r="R59" s="477"/>
    </row>
    <row r="60" spans="1:20" ht="42" customHeight="1">
      <c r="A60" s="497"/>
      <c r="B60" s="499"/>
      <c r="C60" s="204" t="s">
        <v>167</v>
      </c>
      <c r="D60" s="204" t="s">
        <v>168</v>
      </c>
      <c r="E60" s="204" t="s">
        <v>169</v>
      </c>
      <c r="G60" s="504"/>
      <c r="H60" s="505"/>
      <c r="I60" s="192" t="s">
        <v>170</v>
      </c>
      <c r="J60" s="205" t="s">
        <v>171</v>
      </c>
      <c r="K60" s="206" t="s">
        <v>172</v>
      </c>
      <c r="L60" s="192" t="s">
        <v>173</v>
      </c>
      <c r="M60" s="478"/>
      <c r="N60" s="479"/>
      <c r="O60" s="479"/>
      <c r="P60" s="479"/>
      <c r="Q60" s="479"/>
      <c r="R60" s="480"/>
    </row>
    <row r="61" spans="1:20" ht="15" customHeight="1">
      <c r="A61" s="131" t="s">
        <v>10</v>
      </c>
      <c r="B61" s="131">
        <f>IF(SUM(C61:E61)=0,0,1)</f>
        <v>0</v>
      </c>
      <c r="C61" s="207">
        <f>IF(D5&gt;=550000,1,0)</f>
        <v>0</v>
      </c>
      <c r="D61" s="207">
        <f>IF(E50=1,0,IF(E5&gt;=600000,1,0))</f>
        <v>0</v>
      </c>
      <c r="E61" s="207">
        <f>IF(E50=0,0,IF(E5&gt;=1250000,1,0))</f>
        <v>0</v>
      </c>
      <c r="G61" s="483">
        <f>IF(O56&lt;=I61,7,IF(O56&lt;=I62,5,IF(O56&lt;=I63,2,"非該当")))</f>
        <v>7</v>
      </c>
      <c r="H61" s="208" t="s">
        <v>104</v>
      </c>
      <c r="I61" s="209">
        <f>SUM(J61:L61)</f>
        <v>430000</v>
      </c>
      <c r="J61" s="344">
        <f>Q5</f>
        <v>430000</v>
      </c>
      <c r="K61" s="210">
        <f>R5</f>
        <v>0</v>
      </c>
      <c r="L61" s="209">
        <f>IF(B67=0,0,S5*(B67-1))</f>
        <v>0</v>
      </c>
      <c r="M61" s="490" t="s">
        <v>253</v>
      </c>
      <c r="N61" s="491"/>
      <c r="O61" s="491"/>
      <c r="P61" s="491"/>
      <c r="Q61" s="491"/>
      <c r="R61" s="492"/>
    </row>
    <row r="62" spans="1:20" ht="15" customHeight="1">
      <c r="A62" s="139" t="s">
        <v>17</v>
      </c>
      <c r="B62" s="139">
        <f>IF(SUM(C62:E62)=0,0,1)</f>
        <v>0</v>
      </c>
      <c r="C62" s="207">
        <f>IF(B51=0,0,IF(D6&gt;=550000,1,0))</f>
        <v>0</v>
      </c>
      <c r="D62" s="207">
        <f>IF(B51=0,0,IF(E51=1,0,IF(E6&gt;=600000,1,0)))</f>
        <v>0</v>
      </c>
      <c r="E62" s="207">
        <f>IF(B51=0,0,IF(E51=0,0,IF(E6&gt;=1250000,1,0)))</f>
        <v>0</v>
      </c>
      <c r="G62" s="484"/>
      <c r="H62" s="211" t="s">
        <v>107</v>
      </c>
      <c r="I62" s="212">
        <f>SUM(J62:L62)</f>
        <v>430000</v>
      </c>
      <c r="J62" s="213">
        <f>Q6</f>
        <v>430000</v>
      </c>
      <c r="K62" s="214">
        <f>R6*B56</f>
        <v>0</v>
      </c>
      <c r="L62" s="212">
        <f>IF(B67=0,0,S6*(B67-1))</f>
        <v>0</v>
      </c>
      <c r="M62" s="493" t="s">
        <v>252</v>
      </c>
      <c r="N62" s="494"/>
      <c r="O62" s="494"/>
      <c r="P62" s="494"/>
      <c r="Q62" s="494"/>
      <c r="R62" s="495"/>
    </row>
    <row r="63" spans="1:20" ht="15" customHeight="1" thickBot="1">
      <c r="A63" s="131" t="s">
        <v>19</v>
      </c>
      <c r="B63" s="131">
        <f t="shared" ref="B63:B66" si="45">IF(SUM(C63:E63)=0,0,1)</f>
        <v>0</v>
      </c>
      <c r="C63" s="207">
        <f t="shared" ref="C63:C65" si="46">IF(B52=0,0,IF(D7&gt;=550000,1,0))</f>
        <v>0</v>
      </c>
      <c r="D63" s="207">
        <f>IF(B52=0,0,IF(E52=1,0,IF(E7&gt;=600000,1,0)))</f>
        <v>0</v>
      </c>
      <c r="E63" s="207">
        <f>IF(B52=0,0,IF(E52=0,0,IF(E7&gt;=1250000,1,0)))</f>
        <v>0</v>
      </c>
      <c r="G63" s="485"/>
      <c r="H63" s="208" t="s">
        <v>109</v>
      </c>
      <c r="I63" s="209">
        <f>SUM(J63:L63)</f>
        <v>430000</v>
      </c>
      <c r="J63" s="344">
        <f>Q7</f>
        <v>430000</v>
      </c>
      <c r="K63" s="210">
        <f>R7*B56</f>
        <v>0</v>
      </c>
      <c r="L63" s="209">
        <f>IF(B67=0,0,S7*(B67-1))</f>
        <v>0</v>
      </c>
      <c r="M63" s="490" t="s">
        <v>254</v>
      </c>
      <c r="N63" s="491"/>
      <c r="O63" s="491"/>
      <c r="P63" s="491"/>
      <c r="Q63" s="491"/>
      <c r="R63" s="492"/>
    </row>
    <row r="64" spans="1:20" ht="15" customHeight="1" thickTop="1">
      <c r="A64" s="139" t="s">
        <v>20</v>
      </c>
      <c r="B64" s="139">
        <f t="shared" si="45"/>
        <v>0</v>
      </c>
      <c r="C64" s="207">
        <f t="shared" si="46"/>
        <v>0</v>
      </c>
      <c r="D64" s="207">
        <f>IF(B53=0,0,IF(E53=1,0,IF(E8&gt;=600000,1,0)))</f>
        <v>0</v>
      </c>
      <c r="E64" s="207">
        <f>IF(B53=0,0,IF(E53=0,0,IF(E8&gt;=1250000,1,0)))</f>
        <v>0</v>
      </c>
      <c r="F64" s="352"/>
    </row>
    <row r="65" spans="1:13" ht="15" customHeight="1">
      <c r="A65" s="131" t="s">
        <v>21</v>
      </c>
      <c r="B65" s="131">
        <f t="shared" si="45"/>
        <v>0</v>
      </c>
      <c r="C65" s="207">
        <f t="shared" si="46"/>
        <v>0</v>
      </c>
      <c r="D65" s="207">
        <f>IF(B54=0,0,IF(E54=1,0,IF(E9&gt;=600000,1,0)))</f>
        <v>0</v>
      </c>
      <c r="E65" s="207">
        <f>IF(B54=0,0,IF(E54=0,0,IF(E9&gt;=1250000,1,0)))</f>
        <v>0</v>
      </c>
      <c r="F65" s="215"/>
      <c r="J65" s="215"/>
      <c r="K65" s="215"/>
      <c r="L65" s="215"/>
      <c r="M65" s="215"/>
    </row>
    <row r="66" spans="1:13" ht="15" customHeight="1" thickBot="1">
      <c r="A66" s="168" t="s">
        <v>22</v>
      </c>
      <c r="B66" s="168">
        <f t="shared" si="45"/>
        <v>0</v>
      </c>
      <c r="C66" s="216">
        <f>IF(B55=0,0,IF(D10&gt;=550000,1,0))</f>
        <v>0</v>
      </c>
      <c r="D66" s="207">
        <f>IF(B55=0,0,IF(E55=1,0,IF(E10&gt;=600000,1,0)))</f>
        <v>0</v>
      </c>
      <c r="E66" s="207">
        <f>IF(B55=0,0,IF(E55=0,0,IF(E10&gt;=1250000,1,0)))</f>
        <v>0</v>
      </c>
      <c r="F66" s="215"/>
      <c r="J66" s="215"/>
      <c r="K66" s="215"/>
      <c r="L66" s="215"/>
      <c r="M66" s="215"/>
    </row>
    <row r="67" spans="1:13" ht="15" customHeight="1" thickTop="1">
      <c r="A67" s="164" t="s">
        <v>43</v>
      </c>
      <c r="B67" s="164">
        <f>SUM(B61:B66)</f>
        <v>0</v>
      </c>
      <c r="C67" s="217"/>
      <c r="D67" s="217"/>
      <c r="E67" s="217"/>
      <c r="F67" s="215"/>
      <c r="G67" s="215"/>
    </row>
    <row r="68" spans="1:13">
      <c r="D68" s="215"/>
      <c r="E68" s="215"/>
    </row>
    <row r="71" spans="1:13" ht="20.25" customHeight="1"/>
    <row r="72" spans="1:13">
      <c r="F72" s="218"/>
      <c r="G72" s="218"/>
      <c r="H72" s="218"/>
      <c r="I72" s="218"/>
    </row>
    <row r="73" spans="1:13" ht="32.25" customHeight="1">
      <c r="B73" s="150"/>
      <c r="C73" s="150"/>
      <c r="D73" s="150"/>
      <c r="E73" s="218"/>
      <c r="F73" s="218"/>
      <c r="G73" s="218"/>
      <c r="H73" s="218"/>
      <c r="I73" s="218"/>
    </row>
    <row r="74" spans="1:13">
      <c r="B74" s="218"/>
      <c r="C74" s="218"/>
      <c r="D74" s="218"/>
      <c r="E74" s="218"/>
    </row>
    <row r="81" spans="1:1">
      <c r="A81" s="171"/>
    </row>
  </sheetData>
  <sheetProtection algorithmName="SHA-512" hashValue="t4OY4S4g/MIbDtUpL4paHiy8hr9iXoRGCFfC5lcfgg0TvlhXvNXY7bnyKXb+w4U5zOziSP7/ySB0mHgkC5KyRQ==" saltValue="ygWRcTVo2KoIJCoNjEIVlA==" spinCount="100000" sheet="1" selectLockedCells="1"/>
  <mergeCells count="72">
    <mergeCell ref="Q1:R1"/>
    <mergeCell ref="A14:B14"/>
    <mergeCell ref="P14:Q15"/>
    <mergeCell ref="R14:S14"/>
    <mergeCell ref="T14:T15"/>
    <mergeCell ref="A15:B15"/>
    <mergeCell ref="A16:B16"/>
    <mergeCell ref="P16:Q17"/>
    <mergeCell ref="T16:T17"/>
    <mergeCell ref="A17:B17"/>
    <mergeCell ref="A18:B18"/>
    <mergeCell ref="P18:Q19"/>
    <mergeCell ref="T18:T19"/>
    <mergeCell ref="A19:B19"/>
    <mergeCell ref="A20:A25"/>
    <mergeCell ref="P20:Q21"/>
    <mergeCell ref="T20:T21"/>
    <mergeCell ref="P22:Q23"/>
    <mergeCell ref="T22:T23"/>
    <mergeCell ref="P24:Q25"/>
    <mergeCell ref="T24:T25"/>
    <mergeCell ref="A26:A31"/>
    <mergeCell ref="P26:Q27"/>
    <mergeCell ref="T26:T27"/>
    <mergeCell ref="A32:B32"/>
    <mergeCell ref="A36:A37"/>
    <mergeCell ref="B36:B37"/>
    <mergeCell ref="C36:C37"/>
    <mergeCell ref="D36:D37"/>
    <mergeCell ref="E36:E37"/>
    <mergeCell ref="F36:F37"/>
    <mergeCell ref="R36:S36"/>
    <mergeCell ref="T36:T37"/>
    <mergeCell ref="G36:G37"/>
    <mergeCell ref="H36:H37"/>
    <mergeCell ref="I36:I37"/>
    <mergeCell ref="J36:J37"/>
    <mergeCell ref="O36:O37"/>
    <mergeCell ref="Q36:Q37"/>
    <mergeCell ref="A48:A49"/>
    <mergeCell ref="B48:B49"/>
    <mergeCell ref="E48:E49"/>
    <mergeCell ref="F48:F49"/>
    <mergeCell ref="G48:G49"/>
    <mergeCell ref="O48:O49"/>
    <mergeCell ref="Q48:Q49"/>
    <mergeCell ref="K36:K37"/>
    <mergeCell ref="L36:L37"/>
    <mergeCell ref="H48:H49"/>
    <mergeCell ref="M36:M37"/>
    <mergeCell ref="N36:N37"/>
    <mergeCell ref="A59:A60"/>
    <mergeCell ref="B59:B60"/>
    <mergeCell ref="C59:E59"/>
    <mergeCell ref="G59:G60"/>
    <mergeCell ref="H59:H60"/>
    <mergeCell ref="M59:R60"/>
    <mergeCell ref="C48:C49"/>
    <mergeCell ref="D48:D49"/>
    <mergeCell ref="G61:G63"/>
    <mergeCell ref="T48:T49"/>
    <mergeCell ref="I59:L59"/>
    <mergeCell ref="I48:I49"/>
    <mergeCell ref="J48:J49"/>
    <mergeCell ref="K48:K49"/>
    <mergeCell ref="L48:L49"/>
    <mergeCell ref="M48:M49"/>
    <mergeCell ref="N48:N49"/>
    <mergeCell ref="M61:R61"/>
    <mergeCell ref="M62:R62"/>
    <mergeCell ref="M63:R63"/>
    <mergeCell ref="R48:S48"/>
  </mergeCells>
  <phoneticPr fontId="4"/>
  <conditionalFormatting sqref="C19:N19">
    <cfRule type="cellIs" dxfId="48" priority="2" operator="greaterThanOrEqual">
      <formula>1</formula>
    </cfRule>
  </conditionalFormatting>
  <conditionalFormatting sqref="D20:N31">
    <cfRule type="expression" dxfId="47" priority="1">
      <formula>C20&lt;&gt;D20</formula>
    </cfRule>
  </conditionalFormatting>
  <pageMargins left="0.39370078740157483" right="0.39370078740157483" top="0.39370078740157483" bottom="0.35433070866141736" header="0.31496062992125984" footer="0.31496062992125984"/>
  <pageSetup paperSize="9" scale="60" orientation="landscape" r:id="rId1"/>
  <rowBreaks count="1" manualBreakCount="1">
    <brk id="45" max="21" man="1"/>
  </rowBreaks>
  <ignoredErrors>
    <ignoredError sqref="R18:S2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A7F78-4698-4B9B-B2E6-AF570EE1854B}">
  <dimension ref="A1:L21"/>
  <sheetViews>
    <sheetView showGridLines="0" view="pageBreakPreview" zoomScale="85" zoomScaleNormal="70" zoomScaleSheetLayoutView="85" workbookViewId="0">
      <selection activeCell="A2" sqref="A2:D2"/>
    </sheetView>
  </sheetViews>
  <sheetFormatPr defaultColWidth="8.69921875" defaultRowHeight="19.2" customHeight="1"/>
  <cols>
    <col min="1" max="1" width="10.3984375" style="1" customWidth="1"/>
    <col min="2" max="2" width="4.69921875" style="1" customWidth="1"/>
    <col min="3" max="4" width="11.19921875" style="1" customWidth="1"/>
    <col min="5" max="13" width="10.5" style="1" customWidth="1"/>
    <col min="14" max="16384" width="8.69921875" style="1"/>
  </cols>
  <sheetData>
    <row r="1" spans="1:12" ht="26.7" customHeight="1">
      <c r="A1" s="219" t="s">
        <v>174</v>
      </c>
    </row>
    <row r="3" spans="1:12" ht="19.95" customHeight="1">
      <c r="A3" s="546" t="s">
        <v>175</v>
      </c>
      <c r="B3" s="546"/>
      <c r="C3" s="546"/>
      <c r="D3" s="546" t="s">
        <v>176</v>
      </c>
      <c r="E3" s="546"/>
      <c r="F3" s="546"/>
      <c r="G3" s="546"/>
      <c r="H3" s="546"/>
      <c r="I3" s="546"/>
      <c r="J3" s="546"/>
    </row>
    <row r="4" spans="1:12" ht="19.95" customHeight="1">
      <c r="A4" s="220">
        <v>1</v>
      </c>
      <c r="B4" s="221" t="s">
        <v>177</v>
      </c>
      <c r="C4" s="222">
        <v>650999</v>
      </c>
      <c r="D4" s="543" t="s">
        <v>178</v>
      </c>
      <c r="E4" s="544"/>
      <c r="F4" s="544"/>
      <c r="G4" s="544"/>
      <c r="H4" s="544"/>
      <c r="I4" s="544"/>
      <c r="J4" s="545"/>
    </row>
    <row r="5" spans="1:12" ht="19.95" customHeight="1">
      <c r="A5" s="223">
        <v>651000</v>
      </c>
      <c r="B5" s="221" t="s">
        <v>177</v>
      </c>
      <c r="C5" s="222">
        <v>1899999</v>
      </c>
      <c r="D5" s="543" t="s">
        <v>179</v>
      </c>
      <c r="E5" s="544"/>
      <c r="F5" s="544"/>
      <c r="G5" s="544"/>
      <c r="H5" s="544"/>
      <c r="I5" s="544"/>
      <c r="J5" s="545"/>
    </row>
    <row r="6" spans="1:12" ht="19.95" customHeight="1">
      <c r="A6" s="223">
        <v>1900000</v>
      </c>
      <c r="B6" s="221" t="s">
        <v>177</v>
      </c>
      <c r="C6" s="222">
        <v>3599999</v>
      </c>
      <c r="D6" s="540" t="s">
        <v>180</v>
      </c>
      <c r="E6" s="541"/>
      <c r="F6" s="542"/>
      <c r="G6" s="224" t="s">
        <v>181</v>
      </c>
      <c r="H6" s="543" t="s">
        <v>182</v>
      </c>
      <c r="I6" s="544"/>
      <c r="J6" s="545"/>
    </row>
    <row r="7" spans="1:12" ht="19.95" customHeight="1">
      <c r="A7" s="223">
        <v>3600000</v>
      </c>
      <c r="B7" s="221" t="s">
        <v>177</v>
      </c>
      <c r="C7" s="222">
        <v>6599999</v>
      </c>
      <c r="D7" s="540" t="s">
        <v>183</v>
      </c>
      <c r="E7" s="541"/>
      <c r="F7" s="542"/>
      <c r="G7" s="224" t="s">
        <v>181</v>
      </c>
      <c r="H7" s="543" t="s">
        <v>184</v>
      </c>
      <c r="I7" s="544"/>
      <c r="J7" s="545"/>
    </row>
    <row r="8" spans="1:12" ht="19.95" customHeight="1">
      <c r="A8" s="223">
        <v>6600000</v>
      </c>
      <c r="B8" s="221" t="s">
        <v>177</v>
      </c>
      <c r="C8" s="222">
        <v>8499999</v>
      </c>
      <c r="D8" s="543" t="s">
        <v>185</v>
      </c>
      <c r="E8" s="544"/>
      <c r="F8" s="544"/>
      <c r="G8" s="544"/>
      <c r="H8" s="544"/>
      <c r="I8" s="544"/>
      <c r="J8" s="545"/>
    </row>
    <row r="9" spans="1:12" ht="19.95" customHeight="1">
      <c r="A9" s="223">
        <v>8500000</v>
      </c>
      <c r="B9" s="221" t="s">
        <v>177</v>
      </c>
      <c r="C9" s="222"/>
      <c r="D9" s="543" t="s">
        <v>186</v>
      </c>
      <c r="E9" s="544"/>
      <c r="F9" s="544"/>
      <c r="G9" s="544"/>
      <c r="H9" s="544"/>
      <c r="I9" s="544"/>
      <c r="J9" s="545"/>
    </row>
    <row r="10" spans="1:12" ht="19.95" customHeight="1">
      <c r="A10" s="223"/>
      <c r="B10" s="221" t="s">
        <v>177</v>
      </c>
      <c r="C10" s="222"/>
      <c r="D10" s="540"/>
      <c r="E10" s="541"/>
      <c r="F10" s="541"/>
      <c r="G10" s="541"/>
      <c r="H10" s="541"/>
      <c r="I10" s="541"/>
      <c r="J10" s="225" t="s">
        <v>14</v>
      </c>
    </row>
    <row r="11" spans="1:12" ht="19.95" customHeight="1">
      <c r="A11" s="223"/>
      <c r="B11" s="221" t="s">
        <v>177</v>
      </c>
      <c r="C11" s="222"/>
      <c r="D11" s="540"/>
      <c r="E11" s="541"/>
      <c r="F11" s="541"/>
      <c r="G11" s="541"/>
      <c r="H11" s="541"/>
      <c r="I11" s="541"/>
      <c r="J11" s="225" t="s">
        <v>14</v>
      </c>
    </row>
    <row r="12" spans="1:12" ht="19.95" customHeight="1">
      <c r="A12" s="226"/>
    </row>
    <row r="13" spans="1:12" ht="19.95" customHeight="1"/>
    <row r="14" spans="1:12" ht="33.6" customHeight="1">
      <c r="A14" s="533"/>
      <c r="B14" s="534"/>
      <c r="C14" s="537" t="s">
        <v>187</v>
      </c>
      <c r="D14" s="539" t="s">
        <v>188</v>
      </c>
      <c r="E14" s="227" t="str">
        <f>IF(A4="","",FIXED(A4,0,FALSE)&amp;"～")</f>
        <v>1～</v>
      </c>
      <c r="F14" s="227" t="str">
        <f>IF(A5="","",FIXED(A5,0,FALSE)&amp;"～")</f>
        <v>651,000～</v>
      </c>
      <c r="G14" s="227" t="str">
        <f>IF(A6="","",FIXED(A6,0,FALSE)&amp;"～")</f>
        <v>1,900,000～</v>
      </c>
      <c r="H14" s="227" t="str">
        <f>IF(A7="","",FIXED(A7,0,FALSE)&amp;"～")</f>
        <v>3,600,000～</v>
      </c>
      <c r="I14" s="227" t="str">
        <f>IF(A8="","",FIXED(A8,0,FALSE)&amp;"～")</f>
        <v>6,600,000～</v>
      </c>
      <c r="J14" s="227" t="str">
        <f>IF(A9="","",FIXED(A9,0,FALSE)&amp;"～")</f>
        <v>8,500,000～</v>
      </c>
      <c r="K14" s="227" t="str">
        <f>IF(A10="","",FIXED(A10,0,FALSE)&amp;"～")</f>
        <v/>
      </c>
      <c r="L14" s="227" t="str">
        <f>IF(A11="","",FIXED(A11,0,FALSE)&amp;"～")</f>
        <v/>
      </c>
    </row>
    <row r="15" spans="1:12" ht="33.6" customHeight="1">
      <c r="A15" s="535"/>
      <c r="B15" s="536"/>
      <c r="C15" s="538"/>
      <c r="D15" s="538"/>
      <c r="E15" s="227">
        <f>IF(C4=0,"",C4)</f>
        <v>650999</v>
      </c>
      <c r="F15" s="227">
        <f>IF(C5=0,"",C5)</f>
        <v>1899999</v>
      </c>
      <c r="G15" s="227">
        <f>IF(C6=0,"",C6)</f>
        <v>3599999</v>
      </c>
      <c r="H15" s="227">
        <f>IF(C7=0,"",C7)</f>
        <v>6599999</v>
      </c>
      <c r="I15" s="227">
        <f>IF(C8=0,"",C8)</f>
        <v>8499999</v>
      </c>
      <c r="J15" s="227" t="str">
        <f>IF(C9=0,"",C9)</f>
        <v/>
      </c>
      <c r="K15" s="227" t="str">
        <f>IF(C10=0,"",C10)</f>
        <v/>
      </c>
      <c r="L15" s="227" t="str">
        <f>IF(C11=0,"",C11)</f>
        <v/>
      </c>
    </row>
    <row r="16" spans="1:12" ht="19.95" customHeight="1">
      <c r="A16" s="532" t="s">
        <v>10</v>
      </c>
      <c r="B16" s="532"/>
      <c r="C16" s="228">
        <f>'入力＆結果'!R20</f>
        <v>0</v>
      </c>
      <c r="D16" s="229">
        <f>SUM(E16:L16)</f>
        <v>0</v>
      </c>
      <c r="E16" s="230">
        <v>0</v>
      </c>
      <c r="F16" s="227">
        <f t="shared" ref="F16:F21" si="0">IF(AND(C16&gt;=A$5,C16&lt;=C$5),C16-650000,0)</f>
        <v>0</v>
      </c>
      <c r="G16" s="227">
        <f t="shared" ref="G16:G21" si="1">IF(AND(C16&gt;=A$6,C16&lt;=C$6),ROUNDDOWN(C16/4,-3)*2.8-80000,0)</f>
        <v>0</v>
      </c>
      <c r="H16" s="227">
        <f t="shared" ref="H16:H21" si="2">IF(AND(C16&gt;=A$7,C16&lt;=C$7),ROUNDDOWN(C16/4,-3)*3.2-440000,0)</f>
        <v>0</v>
      </c>
      <c r="I16" s="227">
        <f t="shared" ref="I16:I21" si="3">IF(AND(C16&gt;=A$8,C16&lt;=C$8),C16*0.9-1100000,0)</f>
        <v>0</v>
      </c>
      <c r="J16" s="227">
        <f>IF(C16&gt;=A$9,C16-1950000,0)</f>
        <v>0</v>
      </c>
      <c r="K16" s="227"/>
      <c r="L16" s="227"/>
    </row>
    <row r="17" spans="1:12" ht="19.95" customHeight="1">
      <c r="A17" s="532" t="s">
        <v>189</v>
      </c>
      <c r="B17" s="532"/>
      <c r="C17" s="228">
        <f>'入力＆結果'!R22</f>
        <v>0</v>
      </c>
      <c r="D17" s="229">
        <f t="shared" ref="D17:D21" si="4">SUM(E17:L17)</f>
        <v>0</v>
      </c>
      <c r="E17" s="230">
        <v>0</v>
      </c>
      <c r="F17" s="227">
        <f t="shared" si="0"/>
        <v>0</v>
      </c>
      <c r="G17" s="227">
        <f t="shared" si="1"/>
        <v>0</v>
      </c>
      <c r="H17" s="227">
        <f t="shared" si="2"/>
        <v>0</v>
      </c>
      <c r="I17" s="227">
        <f t="shared" si="3"/>
        <v>0</v>
      </c>
      <c r="J17" s="227">
        <f t="shared" ref="J17:J21" si="5">IF(C17&gt;=A$9,C17-1950000,0)</f>
        <v>0</v>
      </c>
      <c r="K17" s="227"/>
      <c r="L17" s="227"/>
    </row>
    <row r="18" spans="1:12" ht="19.95" customHeight="1">
      <c r="A18" s="532" t="s">
        <v>190</v>
      </c>
      <c r="B18" s="532"/>
      <c r="C18" s="228">
        <f>'入力＆結果'!R24</f>
        <v>0</v>
      </c>
      <c r="D18" s="229">
        <f t="shared" si="4"/>
        <v>0</v>
      </c>
      <c r="E18" s="230">
        <v>0</v>
      </c>
      <c r="F18" s="227">
        <f t="shared" si="0"/>
        <v>0</v>
      </c>
      <c r="G18" s="227">
        <f t="shared" si="1"/>
        <v>0</v>
      </c>
      <c r="H18" s="227">
        <f t="shared" si="2"/>
        <v>0</v>
      </c>
      <c r="I18" s="227">
        <f t="shared" si="3"/>
        <v>0</v>
      </c>
      <c r="J18" s="227">
        <f t="shared" si="5"/>
        <v>0</v>
      </c>
      <c r="K18" s="227"/>
      <c r="L18" s="227"/>
    </row>
    <row r="19" spans="1:12" ht="19.95" customHeight="1">
      <c r="A19" s="532" t="s">
        <v>191</v>
      </c>
      <c r="B19" s="532"/>
      <c r="C19" s="228">
        <f>'入力＆結果'!R26</f>
        <v>0</v>
      </c>
      <c r="D19" s="229">
        <f t="shared" si="4"/>
        <v>0</v>
      </c>
      <c r="E19" s="230">
        <v>0</v>
      </c>
      <c r="F19" s="227">
        <f t="shared" si="0"/>
        <v>0</v>
      </c>
      <c r="G19" s="227">
        <f>IF(AND(C19&gt;=A$6,C19&lt;=C$6),ROUNDDOWN(C19/4,-3)*2.8-80000,0)</f>
        <v>0</v>
      </c>
      <c r="H19" s="227">
        <f t="shared" si="2"/>
        <v>0</v>
      </c>
      <c r="I19" s="227">
        <f t="shared" si="3"/>
        <v>0</v>
      </c>
      <c r="J19" s="227">
        <f t="shared" si="5"/>
        <v>0</v>
      </c>
      <c r="K19" s="227"/>
      <c r="L19" s="227"/>
    </row>
    <row r="20" spans="1:12" ht="19.95" customHeight="1">
      <c r="A20" s="532" t="s">
        <v>192</v>
      </c>
      <c r="B20" s="532"/>
      <c r="C20" s="228">
        <f>'入力＆結果'!R28</f>
        <v>0</v>
      </c>
      <c r="D20" s="229">
        <f t="shared" si="4"/>
        <v>0</v>
      </c>
      <c r="E20" s="230">
        <v>0</v>
      </c>
      <c r="F20" s="227">
        <f t="shared" si="0"/>
        <v>0</v>
      </c>
      <c r="G20" s="227">
        <f t="shared" si="1"/>
        <v>0</v>
      </c>
      <c r="H20" s="227">
        <f t="shared" si="2"/>
        <v>0</v>
      </c>
      <c r="I20" s="227">
        <f t="shared" si="3"/>
        <v>0</v>
      </c>
      <c r="J20" s="227">
        <f t="shared" si="5"/>
        <v>0</v>
      </c>
      <c r="K20" s="227"/>
      <c r="L20" s="227"/>
    </row>
    <row r="21" spans="1:12" ht="19.95" customHeight="1">
      <c r="A21" s="532" t="s">
        <v>193</v>
      </c>
      <c r="B21" s="532"/>
      <c r="C21" s="228">
        <f>'入力＆結果'!R30</f>
        <v>0</v>
      </c>
      <c r="D21" s="229">
        <f t="shared" si="4"/>
        <v>0</v>
      </c>
      <c r="E21" s="230">
        <v>0</v>
      </c>
      <c r="F21" s="227">
        <f t="shared" si="0"/>
        <v>0</v>
      </c>
      <c r="G21" s="227">
        <f t="shared" si="1"/>
        <v>0</v>
      </c>
      <c r="H21" s="227">
        <f t="shared" si="2"/>
        <v>0</v>
      </c>
      <c r="I21" s="227">
        <f t="shared" si="3"/>
        <v>0</v>
      </c>
      <c r="J21" s="227">
        <f t="shared" si="5"/>
        <v>0</v>
      </c>
      <c r="K21" s="227"/>
      <c r="L21" s="227"/>
    </row>
  </sheetData>
  <sheetProtection algorithmName="SHA-512" hashValue="UUIarwIH5q7haGZIzCDYoiY7CciGRTsmxIdOshzELsztMyQ+RXsXZyenIuhjYHdS+P+CIdTx6t4eDMO3yN3qlQ==" saltValue="aZZoc/LYccjHALKx81OQrQ==" spinCount="100000" sheet="1" selectLockedCells="1"/>
  <mergeCells count="21">
    <mergeCell ref="A3:C3"/>
    <mergeCell ref="D3:J3"/>
    <mergeCell ref="D4:J4"/>
    <mergeCell ref="D5:J5"/>
    <mergeCell ref="D6:F6"/>
    <mergeCell ref="H6:J6"/>
    <mergeCell ref="H7:J7"/>
    <mergeCell ref="D8:J8"/>
    <mergeCell ref="D9:J9"/>
    <mergeCell ref="D10:I10"/>
    <mergeCell ref="D11:I11"/>
    <mergeCell ref="D14:D15"/>
    <mergeCell ref="A16:B16"/>
    <mergeCell ref="A17:B17"/>
    <mergeCell ref="A18:B18"/>
    <mergeCell ref="D7:F7"/>
    <mergeCell ref="A19:B19"/>
    <mergeCell ref="A20:B20"/>
    <mergeCell ref="A21:B21"/>
    <mergeCell ref="A14:B15"/>
    <mergeCell ref="C14:C15"/>
  </mergeCells>
  <phoneticPr fontId="4"/>
  <conditionalFormatting sqref="E16:E21">
    <cfRule type="expression" dxfId="46" priority="1">
      <formula>AND($C16&gt;=1,$C16&lt;=650999)</formula>
    </cfRule>
  </conditionalFormatting>
  <conditionalFormatting sqref="F16:L21">
    <cfRule type="expression" dxfId="45" priority="2">
      <formula>F16&gt;=1</formula>
    </cfRule>
  </conditionalFormatting>
  <pageMargins left="0.51181102362204722" right="0.51181102362204722" top="0.74803149606299213" bottom="0.74803149606299213" header="0.31496062992125984" footer="0.31496062992125984"/>
  <pageSetup paperSize="9" scale="85"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1370C-1423-4D6B-9753-C2CCF340C94B}">
  <sheetPr>
    <pageSetUpPr fitToPage="1"/>
  </sheetPr>
  <dimension ref="A1:Q36"/>
  <sheetViews>
    <sheetView showGridLines="0" view="pageBreakPreview" zoomScale="55" zoomScaleNormal="70" zoomScaleSheetLayoutView="55" workbookViewId="0">
      <selection activeCell="A2" sqref="A2:D2"/>
    </sheetView>
  </sheetViews>
  <sheetFormatPr defaultColWidth="8.69921875" defaultRowHeight="12.6"/>
  <cols>
    <col min="1" max="1" width="3.8984375" style="1" customWidth="1"/>
    <col min="2" max="17" width="12.19921875" style="1" customWidth="1"/>
    <col min="18" max="18" width="23.19921875" style="1" customWidth="1"/>
    <col min="19" max="16384" width="8.69921875" style="1"/>
  </cols>
  <sheetData>
    <row r="1" spans="1:11" ht="28.95" customHeight="1">
      <c r="A1" s="219" t="s">
        <v>194</v>
      </c>
    </row>
    <row r="3" spans="1:11" s="17" customFormat="1" ht="18" customHeight="1">
      <c r="A3" s="17" t="s">
        <v>195</v>
      </c>
    </row>
    <row r="4" spans="1:11" s="17" customFormat="1" ht="18" customHeight="1"/>
    <row r="5" spans="1:11" s="17" customFormat="1" ht="18" customHeight="1">
      <c r="B5" s="17" t="s">
        <v>196</v>
      </c>
    </row>
    <row r="6" spans="1:11" s="17" customFormat="1" ht="18" customHeight="1">
      <c r="B6" s="17" t="s">
        <v>197</v>
      </c>
    </row>
    <row r="7" spans="1:11" ht="39" customHeight="1">
      <c r="B7" s="231" t="s">
        <v>198</v>
      </c>
      <c r="C7" s="564" t="s">
        <v>199</v>
      </c>
      <c r="D7" s="565"/>
      <c r="E7" s="566"/>
      <c r="F7" s="567" t="s">
        <v>200</v>
      </c>
      <c r="G7" s="567"/>
      <c r="H7" s="567"/>
    </row>
    <row r="8" spans="1:11" ht="19.95" customHeight="1">
      <c r="B8" s="550" t="s">
        <v>201</v>
      </c>
      <c r="C8" s="232">
        <v>1</v>
      </c>
      <c r="D8" s="233"/>
      <c r="E8" s="234">
        <v>1100000</v>
      </c>
      <c r="F8" s="553" t="s">
        <v>202</v>
      </c>
      <c r="G8" s="554"/>
      <c r="H8" s="555"/>
    </row>
    <row r="9" spans="1:11" ht="19.95" customHeight="1">
      <c r="B9" s="551"/>
      <c r="C9" s="235">
        <v>1100001</v>
      </c>
      <c r="D9" s="236" t="s">
        <v>203</v>
      </c>
      <c r="E9" s="237">
        <v>3299999</v>
      </c>
      <c r="F9" s="556" t="s">
        <v>204</v>
      </c>
      <c r="G9" s="556"/>
      <c r="H9" s="556"/>
      <c r="J9" s="238"/>
      <c r="K9" s="238"/>
    </row>
    <row r="10" spans="1:11" ht="19.95" customHeight="1">
      <c r="B10" s="551"/>
      <c r="C10" s="235">
        <v>3300000</v>
      </c>
      <c r="D10" s="236" t="s">
        <v>203</v>
      </c>
      <c r="E10" s="237">
        <v>4099999</v>
      </c>
      <c r="F10" s="556" t="s">
        <v>205</v>
      </c>
      <c r="G10" s="556"/>
      <c r="H10" s="556"/>
      <c r="J10" s="238"/>
      <c r="K10" s="238"/>
    </row>
    <row r="11" spans="1:11" ht="19.95" customHeight="1">
      <c r="B11" s="551"/>
      <c r="C11" s="235">
        <v>4100000</v>
      </c>
      <c r="D11" s="236" t="s">
        <v>203</v>
      </c>
      <c r="E11" s="237">
        <v>7699999</v>
      </c>
      <c r="F11" s="556" t="s">
        <v>206</v>
      </c>
      <c r="G11" s="556"/>
      <c r="H11" s="556"/>
      <c r="J11" s="238"/>
      <c r="K11" s="238"/>
    </row>
    <row r="12" spans="1:11" ht="19.95" customHeight="1">
      <c r="B12" s="551"/>
      <c r="C12" s="235">
        <v>7700000</v>
      </c>
      <c r="D12" s="236" t="s">
        <v>203</v>
      </c>
      <c r="E12" s="237">
        <v>9999999</v>
      </c>
      <c r="F12" s="556" t="s">
        <v>207</v>
      </c>
      <c r="G12" s="556"/>
      <c r="H12" s="556"/>
      <c r="J12" s="238"/>
      <c r="K12" s="238"/>
    </row>
    <row r="13" spans="1:11" ht="19.95" customHeight="1">
      <c r="B13" s="552"/>
      <c r="C13" s="235">
        <v>10000000</v>
      </c>
      <c r="D13" s="236" t="s">
        <v>203</v>
      </c>
      <c r="E13" s="237"/>
      <c r="F13" s="556" t="s">
        <v>208</v>
      </c>
      <c r="G13" s="556"/>
      <c r="H13" s="556"/>
      <c r="J13" s="239"/>
      <c r="K13" s="238"/>
    </row>
    <row r="14" spans="1:11" ht="19.95" customHeight="1">
      <c r="B14" s="550" t="s">
        <v>209</v>
      </c>
      <c r="C14" s="235">
        <v>1</v>
      </c>
      <c r="D14" s="236"/>
      <c r="E14" s="237">
        <v>600000</v>
      </c>
      <c r="F14" s="553" t="s">
        <v>202</v>
      </c>
      <c r="G14" s="554"/>
      <c r="H14" s="555"/>
      <c r="J14" s="239"/>
      <c r="K14" s="238"/>
    </row>
    <row r="15" spans="1:11" ht="19.95" customHeight="1">
      <c r="B15" s="551"/>
      <c r="C15" s="240">
        <v>600001</v>
      </c>
      <c r="D15" s="241" t="s">
        <v>203</v>
      </c>
      <c r="E15" s="242">
        <v>1299999</v>
      </c>
      <c r="F15" s="556" t="s">
        <v>210</v>
      </c>
      <c r="G15" s="556"/>
      <c r="H15" s="556"/>
      <c r="J15" s="238"/>
      <c r="K15" s="238"/>
    </row>
    <row r="16" spans="1:11" ht="19.95" customHeight="1">
      <c r="B16" s="551"/>
      <c r="C16" s="235">
        <v>1300000</v>
      </c>
      <c r="D16" s="236" t="s">
        <v>203</v>
      </c>
      <c r="E16" s="237">
        <v>4099999</v>
      </c>
      <c r="F16" s="556" t="s">
        <v>205</v>
      </c>
      <c r="G16" s="556"/>
      <c r="H16" s="556"/>
      <c r="J16" s="238"/>
      <c r="K16" s="238"/>
    </row>
    <row r="17" spans="2:17" ht="19.95" customHeight="1">
      <c r="B17" s="551"/>
      <c r="C17" s="235">
        <v>4100000</v>
      </c>
      <c r="D17" s="236" t="s">
        <v>177</v>
      </c>
      <c r="E17" s="237">
        <v>7699999</v>
      </c>
      <c r="F17" s="556" t="s">
        <v>206</v>
      </c>
      <c r="G17" s="556"/>
      <c r="H17" s="556"/>
      <c r="J17" s="238"/>
      <c r="K17" s="238"/>
    </row>
    <row r="18" spans="2:17" ht="19.95" customHeight="1">
      <c r="B18" s="551"/>
      <c r="C18" s="235">
        <v>7700000</v>
      </c>
      <c r="D18" s="236" t="s">
        <v>177</v>
      </c>
      <c r="E18" s="237">
        <v>9999999</v>
      </c>
      <c r="F18" s="556" t="s">
        <v>207</v>
      </c>
      <c r="G18" s="556"/>
      <c r="H18" s="556"/>
      <c r="J18" s="238"/>
      <c r="K18" s="238"/>
    </row>
    <row r="19" spans="2:17" ht="19.95" customHeight="1">
      <c r="B19" s="552"/>
      <c r="C19" s="235">
        <v>10000000</v>
      </c>
      <c r="D19" s="236" t="s">
        <v>203</v>
      </c>
      <c r="E19" s="237"/>
      <c r="F19" s="556" t="s">
        <v>208</v>
      </c>
      <c r="G19" s="556"/>
      <c r="H19" s="556"/>
      <c r="J19" s="239"/>
    </row>
    <row r="20" spans="2:17" s="17" customFormat="1" ht="18" customHeight="1">
      <c r="B20" s="17" t="s">
        <v>211</v>
      </c>
    </row>
    <row r="21" spans="2:17" ht="29.1" customHeight="1">
      <c r="F21" s="243"/>
      <c r="G21" s="243"/>
      <c r="H21" s="243"/>
      <c r="I21" s="243"/>
      <c r="J21" s="243"/>
      <c r="K21" s="243"/>
      <c r="L21" s="243"/>
      <c r="M21" s="243"/>
      <c r="N21" s="243"/>
      <c r="O21" s="243"/>
    </row>
    <row r="22" spans="2:17" ht="24.6" customHeight="1">
      <c r="B22" s="557"/>
      <c r="C22" s="560" t="s">
        <v>96</v>
      </c>
      <c r="D22" s="557" t="s">
        <v>212</v>
      </c>
      <c r="E22" s="560" t="s">
        <v>213</v>
      </c>
      <c r="F22" s="561" t="s">
        <v>214</v>
      </c>
      <c r="G22" s="562"/>
      <c r="H22" s="562"/>
      <c r="I22" s="562"/>
      <c r="J22" s="562"/>
      <c r="K22" s="563"/>
      <c r="L22" s="547" t="s">
        <v>215</v>
      </c>
      <c r="M22" s="548"/>
      <c r="N22" s="548"/>
      <c r="O22" s="548"/>
      <c r="P22" s="548"/>
      <c r="Q22" s="549"/>
    </row>
    <row r="23" spans="2:17" ht="24.6" customHeight="1">
      <c r="B23" s="558"/>
      <c r="C23" s="558"/>
      <c r="D23" s="558"/>
      <c r="E23" s="558"/>
      <c r="F23" s="244" t="str">
        <f>IF(C8="","",FIXED(C8,0,FALSE)&amp;"～")</f>
        <v>1～</v>
      </c>
      <c r="G23" s="244" t="str">
        <f>IF(C9="","",FIXED(C9,0,FALSE)&amp;"～")</f>
        <v>1,100,001～</v>
      </c>
      <c r="H23" s="244" t="str">
        <f>IF(C10="","",FIXED(C10,0,FALSE)&amp;"～")</f>
        <v>3,300,000～</v>
      </c>
      <c r="I23" s="244" t="str">
        <f>IF(C11="","",FIXED(C11,0,FALSE)&amp;"～")</f>
        <v>4,100,000～</v>
      </c>
      <c r="J23" s="244" t="str">
        <f>IF(C12="","",FIXED(C12,0,FALSE)&amp;"～")</f>
        <v>7,700,000～</v>
      </c>
      <c r="K23" s="244" t="str">
        <f>IF(C13="","",FIXED(C13,0,FALSE)&amp;"～")</f>
        <v>10,000,000～</v>
      </c>
      <c r="L23" s="244" t="str">
        <f>IF(C14="","",FIXED(C14,0,FALSE)&amp;"～")</f>
        <v>1～</v>
      </c>
      <c r="M23" s="244" t="str">
        <f>IF(C15="","",FIXED(C15,0,FALSE)&amp;"～")</f>
        <v>600,001～</v>
      </c>
      <c r="N23" s="244" t="str">
        <f>IF(C16="","",FIXED(C16,0,FALSE)&amp;"～")</f>
        <v>1,300,000～</v>
      </c>
      <c r="O23" s="244" t="str">
        <f>IF(C17="","",FIXED(C17,0,FALSE)&amp;"～")</f>
        <v>4,100,000～</v>
      </c>
      <c r="P23" s="244" t="str">
        <f>IF(C18="","",FIXED(C18,0,FALSE)&amp;"～")</f>
        <v>7,700,000～</v>
      </c>
      <c r="Q23" s="244" t="str">
        <f>IF(C19="","",FIXED(C19,0,FALSE)&amp;"～")</f>
        <v>10,000,000～</v>
      </c>
    </row>
    <row r="24" spans="2:17" ht="24.6" customHeight="1">
      <c r="B24" s="559"/>
      <c r="C24" s="559"/>
      <c r="D24" s="559"/>
      <c r="E24" s="559"/>
      <c r="F24" s="245">
        <f>IF(E8=0,"",E8)</f>
        <v>1100000</v>
      </c>
      <c r="G24" s="245">
        <f>IF(E9=0,"",E9)</f>
        <v>3299999</v>
      </c>
      <c r="H24" s="245">
        <f>IF(E10=0,"",E10)</f>
        <v>4099999</v>
      </c>
      <c r="I24" s="245">
        <f>IF(E11=0,"",E11)</f>
        <v>7699999</v>
      </c>
      <c r="J24" s="245">
        <f>IF(E12=0,"",E12)</f>
        <v>9999999</v>
      </c>
      <c r="K24" s="245" t="str">
        <f>IF(E13=0,"",E13)</f>
        <v/>
      </c>
      <c r="L24" s="245">
        <f>IF(E14=0,"",E14)</f>
        <v>600000</v>
      </c>
      <c r="M24" s="245">
        <f>IF(E15=0,"",E15)</f>
        <v>1299999</v>
      </c>
      <c r="N24" s="245">
        <f>IF(E16=0,"",E16)</f>
        <v>4099999</v>
      </c>
      <c r="O24" s="245">
        <f>IF(E17=0,"",E17)</f>
        <v>7699999</v>
      </c>
      <c r="P24" s="245">
        <f>IF(E18=0,"",E18)</f>
        <v>9999999</v>
      </c>
      <c r="Q24" s="245" t="str">
        <f>IF(E19=0,"",E19)</f>
        <v/>
      </c>
    </row>
    <row r="25" spans="2:17" ht="21" customHeight="1">
      <c r="B25" s="134" t="s">
        <v>10</v>
      </c>
      <c r="C25" s="246">
        <f>'入力＆結果'!Y20</f>
        <v>0</v>
      </c>
      <c r="D25" s="247" t="str">
        <f>IF(算出基礎情報!C38=1,"65歳以上","64歳以下")</f>
        <v>64歳以下</v>
      </c>
      <c r="E25" s="248">
        <f t="shared" ref="E25:E30" si="0">SUM(G25:Q25)</f>
        <v>0</v>
      </c>
      <c r="F25" s="230">
        <v>0</v>
      </c>
      <c r="G25" s="249">
        <f t="shared" ref="G25" si="1">IF(AND(D25=$B$8,C25&gt;=$C$9,C25&lt;=$E$9),C25-1100000,0)</f>
        <v>0</v>
      </c>
      <c r="H25" s="249">
        <f t="shared" ref="H25:H29" si="2">IF(AND(D25=$B$8,C25&gt;=$C$10,C25&lt;=$E$10),ROUNDDOWN(C25*0.75-275000,0),0)</f>
        <v>0</v>
      </c>
      <c r="I25" s="249">
        <f t="shared" ref="I25:I29" si="3">IF(AND(D25=$B$8,C25&gt;=$C$11,C25&lt;=$E$11),ROUNDDOWN(C25*0.85-685000,0),0)</f>
        <v>0</v>
      </c>
      <c r="J25" s="249">
        <f t="shared" ref="J25:J29" si="4">IF(AND(D25=$B$8,C25&gt;=$C$12,C25&lt;=$E$12),ROUNDDOWN(C25*0.95-1455000,0),0)</f>
        <v>0</v>
      </c>
      <c r="K25" s="249">
        <f>IF(AND(D25=$B$8,C25&gt;=$C$13),C25-1955000,0)</f>
        <v>0</v>
      </c>
      <c r="L25" s="230">
        <v>0</v>
      </c>
      <c r="M25" s="249">
        <f t="shared" ref="M25:M29" si="5">IF(AND(D25=$B$14,C25&gt;=$C$15,C25&lt;=$E$15),C25-600000,0)</f>
        <v>0</v>
      </c>
      <c r="N25" s="249">
        <f t="shared" ref="N25:N29" si="6">IF(AND(D25=$B$14,C25&gt;=$C$16,C25&lt;=$E$16),ROUNDDOWN(C25*0.75-275000,0),0)</f>
        <v>0</v>
      </c>
      <c r="O25" s="249">
        <f t="shared" ref="O25:O29" si="7">IF(AND(D25=$B$14,C25&gt;=$C$17,C25&lt;=$E$17),ROUNDDOWN(C25*0.85-685000,0),0)</f>
        <v>0</v>
      </c>
      <c r="P25" s="249">
        <f t="shared" ref="P25:P29" si="8">IF(AND(D25=$B$14,C25&gt;=$C$18,C25&lt;=$E$18),ROUNDDOWN(C25*0.95-1455000,0),0)</f>
        <v>0</v>
      </c>
      <c r="Q25" s="249">
        <f>IF(AND(D25=$B$14,C25&gt;=$C$19),C25-1955000,0)</f>
        <v>0</v>
      </c>
    </row>
    <row r="26" spans="2:17" ht="21" customHeight="1">
      <c r="B26" s="134" t="s">
        <v>189</v>
      </c>
      <c r="C26" s="246">
        <f>'入力＆結果'!Y22</f>
        <v>0</v>
      </c>
      <c r="D26" s="247" t="str">
        <f>IF(算出基礎情報!C39=1,"65歳以上","64歳以下")</f>
        <v>64歳以下</v>
      </c>
      <c r="E26" s="248">
        <f t="shared" si="0"/>
        <v>0</v>
      </c>
      <c r="F26" s="230">
        <v>0</v>
      </c>
      <c r="G26" s="249">
        <f>IF(AND(D26=$B$8,C26&gt;=$C$9,C26&lt;=$E$9),C26-1100000,0)</f>
        <v>0</v>
      </c>
      <c r="H26" s="249">
        <f t="shared" si="2"/>
        <v>0</v>
      </c>
      <c r="I26" s="249">
        <f t="shared" si="3"/>
        <v>0</v>
      </c>
      <c r="J26" s="249">
        <f t="shared" si="4"/>
        <v>0</v>
      </c>
      <c r="K26" s="249">
        <f t="shared" ref="K26:K29" si="9">IF(AND(D26=$B$8,C26&gt;=$C$13),C26-1955000,0)</f>
        <v>0</v>
      </c>
      <c r="L26" s="230">
        <v>0</v>
      </c>
      <c r="M26" s="249">
        <f t="shared" si="5"/>
        <v>0</v>
      </c>
      <c r="N26" s="249">
        <f t="shared" si="6"/>
        <v>0</v>
      </c>
      <c r="O26" s="249">
        <f t="shared" si="7"/>
        <v>0</v>
      </c>
      <c r="P26" s="249">
        <f t="shared" si="8"/>
        <v>0</v>
      </c>
      <c r="Q26" s="249">
        <f t="shared" ref="Q26:Q29" si="10">IF(AND(D26=$B$14,C26&gt;=$C$19),C26-1955000,0)</f>
        <v>0</v>
      </c>
    </row>
    <row r="27" spans="2:17" ht="21" customHeight="1">
      <c r="B27" s="134" t="s">
        <v>190</v>
      </c>
      <c r="C27" s="246">
        <f>'入力＆結果'!Y24</f>
        <v>0</v>
      </c>
      <c r="D27" s="247" t="str">
        <f>IF(算出基礎情報!C40=1,"65歳以上","64歳以下")</f>
        <v>64歳以下</v>
      </c>
      <c r="E27" s="248">
        <f t="shared" si="0"/>
        <v>0</v>
      </c>
      <c r="F27" s="230">
        <v>0</v>
      </c>
      <c r="G27" s="249">
        <f>IF(AND(D27=$B$8,C27&gt;=$C$9,C27&lt;=$E$9),C27-1100000,0)</f>
        <v>0</v>
      </c>
      <c r="H27" s="249">
        <f t="shared" si="2"/>
        <v>0</v>
      </c>
      <c r="I27" s="249">
        <f t="shared" si="3"/>
        <v>0</v>
      </c>
      <c r="J27" s="249">
        <f t="shared" si="4"/>
        <v>0</v>
      </c>
      <c r="K27" s="249">
        <f t="shared" si="9"/>
        <v>0</v>
      </c>
      <c r="L27" s="230">
        <v>0</v>
      </c>
      <c r="M27" s="249">
        <f t="shared" si="5"/>
        <v>0</v>
      </c>
      <c r="N27" s="249">
        <f t="shared" si="6"/>
        <v>0</v>
      </c>
      <c r="O27" s="249">
        <f t="shared" si="7"/>
        <v>0</v>
      </c>
      <c r="P27" s="249">
        <f t="shared" si="8"/>
        <v>0</v>
      </c>
      <c r="Q27" s="249">
        <f t="shared" si="10"/>
        <v>0</v>
      </c>
    </row>
    <row r="28" spans="2:17" ht="21" customHeight="1">
      <c r="B28" s="134" t="s">
        <v>191</v>
      </c>
      <c r="C28" s="246">
        <f>'入力＆結果'!Y26</f>
        <v>0</v>
      </c>
      <c r="D28" s="247" t="str">
        <f>IF(算出基礎情報!C41=1,"65歳以上","64歳以下")</f>
        <v>64歳以下</v>
      </c>
      <c r="E28" s="248">
        <f t="shared" si="0"/>
        <v>0</v>
      </c>
      <c r="F28" s="230">
        <v>0</v>
      </c>
      <c r="G28" s="249">
        <f>IF(AND(D28=$B$8,C28&gt;=$C$9,C28&lt;=$E$9),C28-1100000,0)</f>
        <v>0</v>
      </c>
      <c r="H28" s="249">
        <f t="shared" si="2"/>
        <v>0</v>
      </c>
      <c r="I28" s="249">
        <f t="shared" si="3"/>
        <v>0</v>
      </c>
      <c r="J28" s="249">
        <f t="shared" si="4"/>
        <v>0</v>
      </c>
      <c r="K28" s="249">
        <f t="shared" si="9"/>
        <v>0</v>
      </c>
      <c r="L28" s="230">
        <v>0</v>
      </c>
      <c r="M28" s="249">
        <f t="shared" si="5"/>
        <v>0</v>
      </c>
      <c r="N28" s="249">
        <f t="shared" si="6"/>
        <v>0</v>
      </c>
      <c r="O28" s="249">
        <f t="shared" si="7"/>
        <v>0</v>
      </c>
      <c r="P28" s="249">
        <f t="shared" si="8"/>
        <v>0</v>
      </c>
      <c r="Q28" s="249">
        <f t="shared" si="10"/>
        <v>0</v>
      </c>
    </row>
    <row r="29" spans="2:17" ht="21" customHeight="1">
      <c r="B29" s="134" t="s">
        <v>192</v>
      </c>
      <c r="C29" s="246">
        <f>'入力＆結果'!Y28</f>
        <v>0</v>
      </c>
      <c r="D29" s="247" t="str">
        <f>IF(算出基礎情報!C42=1,"65歳以上","64歳以下")</f>
        <v>64歳以下</v>
      </c>
      <c r="E29" s="248">
        <f t="shared" si="0"/>
        <v>0</v>
      </c>
      <c r="F29" s="230">
        <v>0</v>
      </c>
      <c r="G29" s="249">
        <f>IF(AND(D29=$B$8,C29&gt;=$C$9,C29&lt;=$E$9),C29-1100000,0)</f>
        <v>0</v>
      </c>
      <c r="H29" s="249">
        <f t="shared" si="2"/>
        <v>0</v>
      </c>
      <c r="I29" s="249">
        <f t="shared" si="3"/>
        <v>0</v>
      </c>
      <c r="J29" s="249">
        <f t="shared" si="4"/>
        <v>0</v>
      </c>
      <c r="K29" s="249">
        <f t="shared" si="9"/>
        <v>0</v>
      </c>
      <c r="L29" s="230">
        <v>0</v>
      </c>
      <c r="M29" s="249">
        <f t="shared" si="5"/>
        <v>0</v>
      </c>
      <c r="N29" s="249">
        <f t="shared" si="6"/>
        <v>0</v>
      </c>
      <c r="O29" s="249">
        <f t="shared" si="7"/>
        <v>0</v>
      </c>
      <c r="P29" s="249">
        <f t="shared" si="8"/>
        <v>0</v>
      </c>
      <c r="Q29" s="249">
        <f t="shared" si="10"/>
        <v>0</v>
      </c>
    </row>
    <row r="30" spans="2:17" ht="21" customHeight="1">
      <c r="B30" s="134" t="s">
        <v>193</v>
      </c>
      <c r="C30" s="246">
        <f>'入力＆結果'!Y30</f>
        <v>0</v>
      </c>
      <c r="D30" s="247" t="str">
        <f>IF(算出基礎情報!C43=1,"65歳以上","64歳以下")</f>
        <v>64歳以下</v>
      </c>
      <c r="E30" s="248">
        <f t="shared" si="0"/>
        <v>0</v>
      </c>
      <c r="F30" s="230">
        <v>0</v>
      </c>
      <c r="G30" s="249">
        <f>IF(AND(D30=$B$8,C30&gt;=$C$9,C30&lt;=$E$9),C30-1100000,0)</f>
        <v>0</v>
      </c>
      <c r="H30" s="249">
        <f>IF(AND(D30=$B$8,C30&gt;=$C$10,C30&lt;=$E$10),ROUNDDOWN(C30*0.75-275000,0),0)</f>
        <v>0</v>
      </c>
      <c r="I30" s="249">
        <f>IF(AND(D30=$B$8,C30&gt;=$C$11,C30&lt;=$E$11),ROUNDDOWN(C30*0.85-685000,0),0)</f>
        <v>0</v>
      </c>
      <c r="J30" s="249">
        <f>IF(AND(D30=$B$8,C30&gt;=$C$12,C30&lt;=$E$12),ROUNDDOWN(C30*0.95-1455000,0),0)</f>
        <v>0</v>
      </c>
      <c r="K30" s="249">
        <f>IF(AND(D30=$B$8,C30&gt;=$C$13),C30-1955000,0)</f>
        <v>0</v>
      </c>
      <c r="L30" s="230">
        <v>0</v>
      </c>
      <c r="M30" s="249">
        <f>IF(AND(D30=$B$14,C30&gt;=$C$15,C30&lt;=$E$15),C30-600000,0)</f>
        <v>0</v>
      </c>
      <c r="N30" s="249">
        <f>IF(AND(D30=$B$14,C30&gt;=$C$16,C30&lt;=$E$16),ROUNDDOWN(C30*0.75-275000,0),0)</f>
        <v>0</v>
      </c>
      <c r="O30" s="249">
        <f>IF(AND(D30=$B$14,C30&gt;=$C$17,C30&lt;=$E$17),ROUNDDOWN(C30*0.85-685000,0),0)</f>
        <v>0</v>
      </c>
      <c r="P30" s="249">
        <f>IF(AND(D30=$B$14,C30&gt;=$C$18,C30&lt;=$E$18),ROUNDDOWN(C30*0.95-1455000,0),0)</f>
        <v>0</v>
      </c>
      <c r="Q30" s="249">
        <f>IF(AND(D30=$B$14,C30&gt;=$C$19),C30-1955000,0)</f>
        <v>0</v>
      </c>
    </row>
    <row r="36" spans="2:3">
      <c r="B36" s="43"/>
      <c r="C36" s="250"/>
    </row>
  </sheetData>
  <sheetProtection algorithmName="SHA-512" hashValue="n6QLAXYmfj9AU+85jA3IdzUL/61KuG2ghtE5xNrBy2XYMozCIJBk+0cDC2AZXoulGmjV9/belehNZkHtdRDBUA==" saltValue="y6/99jH4SB5TF+NAt/lXnQ==" spinCount="100000" sheet="1" selectLockedCells="1"/>
  <mergeCells count="22">
    <mergeCell ref="C7:E7"/>
    <mergeCell ref="F7:H7"/>
    <mergeCell ref="B8:B13"/>
    <mergeCell ref="F8:H8"/>
    <mergeCell ref="F9:H9"/>
    <mergeCell ref="F10:H10"/>
    <mergeCell ref="F11:H11"/>
    <mergeCell ref="F12:H12"/>
    <mergeCell ref="F13:H13"/>
    <mergeCell ref="L22:Q22"/>
    <mergeCell ref="B14:B19"/>
    <mergeCell ref="F14:H14"/>
    <mergeCell ref="F15:H15"/>
    <mergeCell ref="F16:H16"/>
    <mergeCell ref="F17:H17"/>
    <mergeCell ref="F18:H18"/>
    <mergeCell ref="F19:H19"/>
    <mergeCell ref="B22:B24"/>
    <mergeCell ref="C22:C24"/>
    <mergeCell ref="D22:D24"/>
    <mergeCell ref="E22:E24"/>
    <mergeCell ref="F22:K22"/>
  </mergeCells>
  <phoneticPr fontId="4"/>
  <conditionalFormatting sqref="F25:F30">
    <cfRule type="expression" dxfId="44" priority="2">
      <formula>AND($D25=$B$8,$C25&gt;=1,$C25&lt;=1100000)</formula>
    </cfRule>
  </conditionalFormatting>
  <conditionalFormatting sqref="G25:K30 M25:Q30">
    <cfRule type="expression" dxfId="43" priority="3">
      <formula>G25&gt;=1</formula>
    </cfRule>
  </conditionalFormatting>
  <conditionalFormatting sqref="L25:L30">
    <cfRule type="expression" dxfId="42" priority="1">
      <formula>AND($D25=$B$14,$C25&gt;=1,$C25&lt;=600000)</formula>
    </cfRule>
  </conditionalFormatting>
  <pageMargins left="0.51181102362204722" right="0.31496062992125984" top="0.74803149606299213" bottom="0.74803149606299213" header="0.31496062992125984" footer="0.31496062992125984"/>
  <pageSetup paperSize="9" scale="6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3824A-E9B6-4DE2-8C25-B4BE3FB699A0}">
  <sheetPr>
    <pageSetUpPr fitToPage="1"/>
  </sheetPr>
  <dimension ref="A1:D3"/>
  <sheetViews>
    <sheetView showGridLines="0" view="pageBreakPreview" zoomScale="55" zoomScaleNormal="70" zoomScaleSheetLayoutView="55" workbookViewId="0">
      <selection activeCell="A2" sqref="A2:D2"/>
    </sheetView>
  </sheetViews>
  <sheetFormatPr defaultRowHeight="18"/>
  <cols>
    <col min="1" max="24" width="8.796875" style="41"/>
    <col min="25" max="25" width="16.59765625" style="41" customWidth="1"/>
    <col min="26" max="16384" width="8.796875" style="41"/>
  </cols>
  <sheetData>
    <row r="1" spans="1:4" ht="18.600000000000001" thickBot="1"/>
    <row r="2" spans="1:4" ht="36" customHeight="1" thickTop="1" thickBot="1">
      <c r="A2" s="568" t="s">
        <v>39</v>
      </c>
      <c r="B2" s="569"/>
      <c r="C2" s="569"/>
      <c r="D2" s="570"/>
    </row>
    <row r="3" spans="1:4" ht="18.600000000000001" thickTop="1"/>
  </sheetData>
  <sheetProtection algorithmName="SHA-512" hashValue="JTWEOriYeKdO4MtlCFINp14eXHyZEBr962iRKAb/qkeJEZrLL87EFQ+IXJolI4WfK/08oIVNsPIh9Q56Bx4GLQ==" saltValue="Ps93numGGAUAMAk5wBNhRw==" spinCount="100000" sheet="1" objects="1" scenarios="1" selectLockedCells="1"/>
  <mergeCells count="1">
    <mergeCell ref="A2:D2"/>
  </mergeCells>
  <phoneticPr fontId="4"/>
  <hyperlinks>
    <hyperlink ref="A2" location="'入力＆結果'!A1" display="入力シートに戻る" xr:uid="{E654ECE1-011D-46BC-8B95-2D0D7FEA9127}"/>
  </hyperlinks>
  <pageMargins left="0.7" right="0.7" top="0.75" bottom="0.75" header="0.3" footer="0.3"/>
  <pageSetup paperSize="9" scale="52"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C5576-2360-4C52-AEC4-DC879D3341DB}">
  <dimension ref="A1:AA76"/>
  <sheetViews>
    <sheetView showGridLines="0" view="pageBreakPreview" zoomScale="60" zoomScaleNormal="70" workbookViewId="0">
      <selection activeCell="AQ22" sqref="AQ22"/>
    </sheetView>
  </sheetViews>
  <sheetFormatPr defaultColWidth="8.69921875" defaultRowHeight="18.45" customHeight="1"/>
  <cols>
    <col min="1" max="1" width="4.5" style="1" customWidth="1"/>
    <col min="2" max="2" width="7.19921875" style="1" customWidth="1"/>
    <col min="3" max="3" width="1.69921875" style="1" customWidth="1"/>
    <col min="4" max="4" width="7.69921875" style="1" customWidth="1"/>
    <col min="5" max="5" width="3.59765625" style="5" customWidth="1"/>
    <col min="6" max="6" width="3.59765625" style="251" customWidth="1"/>
    <col min="7" max="25" width="7.59765625" style="1" customWidth="1"/>
    <col min="26" max="26" width="9.59765625" style="1" customWidth="1"/>
    <col min="27" max="16384" width="8.69921875" style="1"/>
  </cols>
  <sheetData>
    <row r="1" spans="1:27" ht="18.45" customHeight="1">
      <c r="B1" s="219"/>
      <c r="C1" s="219"/>
      <c r="N1" s="351">
        <f>$P$4</f>
        <v>7</v>
      </c>
      <c r="R1" s="252" t="s">
        <v>271</v>
      </c>
      <c r="S1" s="253"/>
      <c r="T1" s="253"/>
      <c r="U1" s="253"/>
      <c r="V1" s="253"/>
      <c r="W1" s="253"/>
      <c r="X1" s="253"/>
      <c r="Y1" s="253"/>
      <c r="Z1" s="253"/>
      <c r="AA1" s="254"/>
    </row>
    <row r="2" spans="1:27" ht="18.45" customHeight="1">
      <c r="R2" s="255" t="s">
        <v>216</v>
      </c>
      <c r="T2" s="24" t="s">
        <v>217</v>
      </c>
      <c r="Y2" s="256"/>
      <c r="AA2" s="257"/>
    </row>
    <row r="3" spans="1:27" ht="18.45" customHeight="1">
      <c r="G3" s="14"/>
      <c r="H3" s="258"/>
      <c r="J3" s="532" t="s">
        <v>218</v>
      </c>
      <c r="K3" s="532"/>
      <c r="L3" s="627">
        <f>SUM(F9:M9)</f>
        <v>0</v>
      </c>
      <c r="M3" s="627"/>
      <c r="O3" s="259" t="s">
        <v>219</v>
      </c>
      <c r="P3" s="260" t="str">
        <f>算出基礎情報!$F$3</f>
        <v>令和８年</v>
      </c>
      <c r="Q3" s="261">
        <f>算出基礎情報!$G$3</f>
        <v>4</v>
      </c>
      <c r="R3" s="255" t="s">
        <v>220</v>
      </c>
      <c r="T3" s="24" t="s">
        <v>221</v>
      </c>
      <c r="AA3" s="257"/>
    </row>
    <row r="4" spans="1:27" ht="18.45" customHeight="1">
      <c r="D4" s="1" t="str">
        <f>IF(B19&gt;=1,"(1)","")&amp;IF(B30&gt;=1,"+(2)","")&amp;IF(B41&gt;=1,"+(3)","")&amp;IF(B52&gt;=1,"+(4)","")&amp;IF(B63&gt;=1,"+(5)","")&amp;IF(B74&gt;=1,"+(6)","")&amp;"の合計額"</f>
        <v>の合計額</v>
      </c>
      <c r="J4" s="532" t="s">
        <v>222</v>
      </c>
      <c r="K4" s="532"/>
      <c r="L4" s="628" t="e">
        <f>L3/P6</f>
        <v>#DIV/0!</v>
      </c>
      <c r="M4" s="628"/>
      <c r="O4" s="259" t="s">
        <v>223</v>
      </c>
      <c r="P4" s="347">
        <f>IF(算出基礎情報!G61="非該当","",算出基礎情報!G61)</f>
        <v>7</v>
      </c>
      <c r="Q4" s="262">
        <f>IF(算出基礎情報!G61="非該当",1,(10-算出基礎情報!G61)/10)</f>
        <v>0.3</v>
      </c>
      <c r="R4" s="263"/>
      <c r="S4" s="264"/>
      <c r="T4" s="265" t="s">
        <v>224</v>
      </c>
      <c r="U4" s="264"/>
      <c r="V4" s="264"/>
      <c r="W4" s="264"/>
      <c r="X4" s="264"/>
      <c r="Y4" s="264"/>
      <c r="Z4" s="264"/>
      <c r="AA4" s="266"/>
    </row>
    <row r="5" spans="1:27" ht="18.45" customHeight="1">
      <c r="D5" s="629"/>
      <c r="E5" s="630"/>
      <c r="F5" s="532" t="s">
        <v>24</v>
      </c>
      <c r="G5" s="532"/>
      <c r="H5" s="532" t="s">
        <v>25</v>
      </c>
      <c r="I5" s="532"/>
      <c r="J5" s="532" t="s">
        <v>225</v>
      </c>
      <c r="K5" s="532"/>
      <c r="L5" s="532" t="s">
        <v>34</v>
      </c>
      <c r="M5" s="532"/>
      <c r="N5" s="14"/>
      <c r="O5" s="267"/>
      <c r="P5" s="268"/>
      <c r="S5" s="24"/>
    </row>
    <row r="6" spans="1:27" ht="18.45" customHeight="1">
      <c r="D6" s="532" t="s">
        <v>40</v>
      </c>
      <c r="E6" s="532"/>
      <c r="F6" s="623">
        <f>I21+I32+I43+I54+I65+I76</f>
        <v>0</v>
      </c>
      <c r="G6" s="623"/>
      <c r="H6" s="623">
        <f>M21+M32+M43+M54+M65+M76</f>
        <v>0</v>
      </c>
      <c r="I6" s="623"/>
      <c r="J6" s="623">
        <f>Q21+Q32+Q43+Q54+Q65+Q76</f>
        <v>0</v>
      </c>
      <c r="K6" s="623"/>
      <c r="L6" s="623">
        <f>W21+W32+W43+W54+W65+W76</f>
        <v>0</v>
      </c>
      <c r="M6" s="623"/>
      <c r="N6" s="14"/>
      <c r="O6" s="269" t="s">
        <v>226</v>
      </c>
      <c r="P6" s="270">
        <f>COUNTIF(算出基礎情報!C18:N18,"&gt;=1")</f>
        <v>0</v>
      </c>
      <c r="S6" s="24"/>
    </row>
    <row r="7" spans="1:27" ht="18.45" customHeight="1">
      <c r="D7" s="532" t="s">
        <v>227</v>
      </c>
      <c r="E7" s="532"/>
      <c r="F7" s="623">
        <f>J21+J32+J43+J54+J65+J76</f>
        <v>0</v>
      </c>
      <c r="G7" s="623"/>
      <c r="H7" s="623">
        <f>N21+N32+N43+N54+N65+N76</f>
        <v>0</v>
      </c>
      <c r="I7" s="623"/>
      <c r="J7" s="623">
        <f>R21+R32+R43+R54+R65+R76</f>
        <v>0</v>
      </c>
      <c r="K7" s="623"/>
      <c r="L7" s="623">
        <f>X21+X32+X43+X54+X65+X76</f>
        <v>0</v>
      </c>
      <c r="M7" s="623"/>
      <c r="N7" s="14"/>
      <c r="O7" s="267"/>
      <c r="P7" s="268"/>
      <c r="S7" s="24"/>
    </row>
    <row r="8" spans="1:27" ht="18.45" customHeight="1">
      <c r="D8" s="532" t="s">
        <v>228</v>
      </c>
      <c r="E8" s="532"/>
      <c r="F8" s="623">
        <f>K21+K32+K43+K54+K65+K76</f>
        <v>0</v>
      </c>
      <c r="G8" s="623"/>
      <c r="H8" s="623">
        <f>O21+O32+O43+O54+O65+O76</f>
        <v>0</v>
      </c>
      <c r="I8" s="623"/>
      <c r="J8" s="623">
        <f>S21+S32+S43+S54+S65+S76</f>
        <v>0</v>
      </c>
      <c r="K8" s="623"/>
      <c r="L8" s="624"/>
      <c r="M8" s="624"/>
      <c r="N8" s="268"/>
      <c r="Q8" s="24"/>
    </row>
    <row r="9" spans="1:27" ht="18.45" customHeight="1">
      <c r="D9" s="625" t="s">
        <v>229</v>
      </c>
      <c r="E9" s="625"/>
      <c r="F9" s="626">
        <f>IF(SUM(F6:G8)&gt;=F10,F10,ROUNDDOWN(SUM(F6:G8),-2))</f>
        <v>0</v>
      </c>
      <c r="G9" s="626"/>
      <c r="H9" s="626">
        <f t="shared" ref="H9" si="0">IF(SUM(H6:I8)&gt;=H10,H10,ROUNDDOWN(SUM(H6:I8),-2))</f>
        <v>0</v>
      </c>
      <c r="I9" s="626"/>
      <c r="J9" s="626">
        <f t="shared" ref="J9" si="1">IF(SUM(J6:K8)&gt;=J10,J10,ROUNDDOWN(SUM(J6:K8),-2))</f>
        <v>0</v>
      </c>
      <c r="K9" s="626"/>
      <c r="L9" s="626">
        <f t="shared" ref="L9" si="2">IF(SUM(L6:M8)&gt;=L10,L10,ROUNDDOWN(SUM(L6:M8),-2))</f>
        <v>0</v>
      </c>
      <c r="M9" s="626"/>
      <c r="N9" s="268"/>
      <c r="Q9" s="24"/>
    </row>
    <row r="10" spans="1:27" ht="18.45" customHeight="1">
      <c r="D10" s="620" t="s">
        <v>230</v>
      </c>
      <c r="E10" s="621"/>
      <c r="F10" s="622">
        <f>算出基礎情報!N5</f>
        <v>670000</v>
      </c>
      <c r="G10" s="622"/>
      <c r="H10" s="622">
        <f>算出基礎情報!N6</f>
        <v>260000</v>
      </c>
      <c r="I10" s="622"/>
      <c r="J10" s="622">
        <f>算出基礎情報!N8</f>
        <v>30000</v>
      </c>
      <c r="K10" s="622"/>
      <c r="L10" s="622">
        <f>算出基礎情報!N7</f>
        <v>170000</v>
      </c>
      <c r="M10" s="622"/>
      <c r="N10" s="14"/>
      <c r="O10" s="267"/>
      <c r="P10" s="268"/>
      <c r="S10" s="24"/>
    </row>
    <row r="11" spans="1:27" ht="18.45" customHeight="1" thickBot="1">
      <c r="F11" s="355" t="s">
        <v>270</v>
      </c>
    </row>
    <row r="12" spans="1:27" ht="16.95" customHeight="1" thickTop="1">
      <c r="A12" s="594">
        <v>1</v>
      </c>
      <c r="B12" s="596" t="s">
        <v>231</v>
      </c>
      <c r="C12" s="271"/>
      <c r="D12" s="599" t="s">
        <v>232</v>
      </c>
      <c r="E12" s="602" t="s">
        <v>233</v>
      </c>
      <c r="F12" s="605" t="s">
        <v>234</v>
      </c>
      <c r="G12" s="608" t="s">
        <v>235</v>
      </c>
      <c r="H12" s="609"/>
      <c r="I12" s="272" t="s">
        <v>24</v>
      </c>
      <c r="J12" s="273"/>
      <c r="K12" s="612">
        <f>$P$4</f>
        <v>7</v>
      </c>
      <c r="L12" s="613"/>
      <c r="M12" s="274" t="s">
        <v>25</v>
      </c>
      <c r="N12" s="275"/>
      <c r="O12" s="614">
        <f>$P$4</f>
        <v>7</v>
      </c>
      <c r="P12" s="615"/>
      <c r="Q12" s="276" t="s">
        <v>236</v>
      </c>
      <c r="R12" s="277"/>
      <c r="S12" s="616">
        <f>$P$4</f>
        <v>7</v>
      </c>
      <c r="T12" s="617"/>
      <c r="U12" s="278" t="s">
        <v>237</v>
      </c>
      <c r="V12" s="279"/>
      <c r="W12" s="279"/>
      <c r="X12" s="618">
        <f>$P$4</f>
        <v>7</v>
      </c>
      <c r="Y12" s="619"/>
      <c r="Z12" s="610" t="s">
        <v>238</v>
      </c>
      <c r="AA12" s="611"/>
    </row>
    <row r="13" spans="1:27" ht="16.95" customHeight="1">
      <c r="A13" s="595"/>
      <c r="B13" s="597"/>
      <c r="C13" s="271"/>
      <c r="D13" s="600"/>
      <c r="E13" s="603"/>
      <c r="F13" s="606"/>
      <c r="G13" s="582" t="s">
        <v>239</v>
      </c>
      <c r="H13" s="583"/>
      <c r="I13" s="280" t="s">
        <v>40</v>
      </c>
      <c r="J13" s="281" t="s">
        <v>46</v>
      </c>
      <c r="K13" s="281" t="s">
        <v>228</v>
      </c>
      <c r="L13" s="584" t="s">
        <v>229</v>
      </c>
      <c r="M13" s="282" t="s">
        <v>40</v>
      </c>
      <c r="N13" s="283" t="s">
        <v>46</v>
      </c>
      <c r="O13" s="283" t="s">
        <v>228</v>
      </c>
      <c r="P13" s="586" t="s">
        <v>229</v>
      </c>
      <c r="Q13" s="284" t="s">
        <v>40</v>
      </c>
      <c r="R13" s="285" t="s">
        <v>46</v>
      </c>
      <c r="S13" s="285" t="s">
        <v>228</v>
      </c>
      <c r="T13" s="588" t="s">
        <v>229</v>
      </c>
      <c r="U13" s="590" t="s">
        <v>235</v>
      </c>
      <c r="V13" s="591"/>
      <c r="W13" s="286" t="s">
        <v>40</v>
      </c>
      <c r="X13" s="286" t="s">
        <v>46</v>
      </c>
      <c r="Y13" s="592" t="s">
        <v>229</v>
      </c>
      <c r="Z13" s="346" t="s">
        <v>249</v>
      </c>
      <c r="AA13" s="349" t="s">
        <v>248</v>
      </c>
    </row>
    <row r="14" spans="1:27" ht="16.95" customHeight="1" thickBot="1">
      <c r="B14" s="598"/>
      <c r="C14" s="271"/>
      <c r="D14" s="601"/>
      <c r="E14" s="604"/>
      <c r="F14" s="607"/>
      <c r="G14" s="287" t="s">
        <v>240</v>
      </c>
      <c r="H14" s="288" t="s">
        <v>43</v>
      </c>
      <c r="I14" s="289">
        <f>算出基礎情報!$J$5</f>
        <v>7.6799999999999993E-2</v>
      </c>
      <c r="J14" s="290">
        <f>算出基礎情報!$K$5</f>
        <v>30000</v>
      </c>
      <c r="K14" s="290">
        <f>算出基礎情報!$M$5</f>
        <v>29000</v>
      </c>
      <c r="L14" s="585"/>
      <c r="M14" s="291">
        <f>算出基礎情報!$J$6</f>
        <v>2.8299999999999999E-2</v>
      </c>
      <c r="N14" s="292">
        <f>算出基礎情報!$K$6</f>
        <v>11000</v>
      </c>
      <c r="O14" s="292">
        <f>算出基礎情報!$M$6</f>
        <v>11000</v>
      </c>
      <c r="P14" s="587"/>
      <c r="Q14" s="293">
        <f>算出基礎情報!$J$8</f>
        <v>2.7000000000000001E-3</v>
      </c>
      <c r="R14" s="294">
        <f>算出基礎情報!$K$8+算出基礎情報!$L$8</f>
        <v>1000</v>
      </c>
      <c r="S14" s="294">
        <f>算出基礎情報!$M$8</f>
        <v>1000</v>
      </c>
      <c r="T14" s="589"/>
      <c r="U14" s="295" t="s">
        <v>240</v>
      </c>
      <c r="V14" s="296" t="s">
        <v>43</v>
      </c>
      <c r="W14" s="297">
        <f>算出基礎情報!$J$7</f>
        <v>2.3099999999999999E-2</v>
      </c>
      <c r="X14" s="298">
        <f>算出基礎情報!$K$7</f>
        <v>18000</v>
      </c>
      <c r="Y14" s="593"/>
      <c r="Z14" s="350" t="s">
        <v>250</v>
      </c>
      <c r="AA14" s="358" t="s">
        <v>272</v>
      </c>
    </row>
    <row r="15" spans="1:27" ht="16.95" customHeight="1" thickTop="1">
      <c r="B15" s="299" t="e">
        <f>HLOOKUP(A12,算出基礎情報!$C$14:$N$31,2,FALSE)</f>
        <v>#N/A</v>
      </c>
      <c r="C15" s="271"/>
      <c r="D15" s="300" t="s">
        <v>10</v>
      </c>
      <c r="E15" s="301" t="e">
        <f>HLOOKUP(A12,算出基礎情報!$C$14:$N$31,7,FALSE)</f>
        <v>#N/A</v>
      </c>
      <c r="F15" s="302" t="e">
        <f>HLOOKUP(A12,算出基礎情報!$C$14:$N$31,13,FALSE)</f>
        <v>#N/A</v>
      </c>
      <c r="G15" s="303" t="e">
        <f>IF(F15=0,0,算出基礎情報!$O$38)</f>
        <v>#N/A</v>
      </c>
      <c r="H15" s="304"/>
      <c r="I15" s="305"/>
      <c r="J15" s="306" t="e">
        <f>IF($F15=1,J14*$Q$4/2,IF($F15&gt;=3,J14*$Q$4,0))</f>
        <v>#N/A</v>
      </c>
      <c r="K15" s="307"/>
      <c r="L15" s="308"/>
      <c r="M15" s="305"/>
      <c r="N15" s="306" t="e">
        <f>IF($F15=1,N14*$Q$4/2,IF($F15&gt;=3,N14*$Q$4,0))</f>
        <v>#N/A</v>
      </c>
      <c r="O15" s="307"/>
      <c r="P15" s="308"/>
      <c r="Q15" s="305"/>
      <c r="R15" s="306" t="e">
        <f>IF($F15&lt;=2,0,IF($F15&gt;=3,R14*$Q$4,0))</f>
        <v>#N/A</v>
      </c>
      <c r="S15" s="307"/>
      <c r="T15" s="308"/>
      <c r="U15" s="309" t="e">
        <f>IF(F15=3,G15,"")</f>
        <v>#N/A</v>
      </c>
      <c r="V15" s="307"/>
      <c r="W15" s="307"/>
      <c r="X15" s="306" t="e">
        <f>IF($F15=3,X14*$Q$4,0)</f>
        <v>#N/A</v>
      </c>
      <c r="Y15" s="308"/>
      <c r="Z15" s="574" t="e">
        <f>ROUNDDOWN(L17,-2)+ROUNDDOWN(P17,-2)+ROUNDDOWN(T17,-2)+ROUNDDOWN(Y17,-2)</f>
        <v>#N/A</v>
      </c>
      <c r="AA15" s="577" t="e">
        <f>ROUNDDOWN(Z15/12,0)</f>
        <v>#N/A</v>
      </c>
    </row>
    <row r="16" spans="1:27" ht="16.95" customHeight="1">
      <c r="B16" s="310" t="s">
        <v>203</v>
      </c>
      <c r="C16" s="311"/>
      <c r="D16" s="312" t="s">
        <v>17</v>
      </c>
      <c r="E16" s="313" t="e">
        <f>HLOOKUP(A12,算出基礎情報!$C$14:$N$31,8,FALSE)</f>
        <v>#N/A</v>
      </c>
      <c r="F16" s="314" t="e">
        <f>HLOOKUP(A12,算出基礎情報!$C$14:$N$31,14,FALSE)</f>
        <v>#N/A</v>
      </c>
      <c r="G16" s="315" t="e">
        <f>IF(F16=0,0,算出基礎情報!$O$39)</f>
        <v>#N/A</v>
      </c>
      <c r="H16" s="316"/>
      <c r="I16" s="317"/>
      <c r="J16" s="315" t="e">
        <f>IF($F16=1,J14*$Q$4/2,IF($F16&gt;=3,J14*$Q$4,0))</f>
        <v>#N/A</v>
      </c>
      <c r="K16" s="318"/>
      <c r="L16" s="319"/>
      <c r="M16" s="317"/>
      <c r="N16" s="315" t="e">
        <f>IF($F16=1,N14*$Q$4/2,IF($F16&gt;=3,N14*$Q$4,0))</f>
        <v>#N/A</v>
      </c>
      <c r="O16" s="318"/>
      <c r="P16" s="319"/>
      <c r="Q16" s="317"/>
      <c r="R16" s="315" t="e">
        <f>IF($F16&lt;=2,0,IF($F16&gt;=3,R14*$Q$4,0))</f>
        <v>#N/A</v>
      </c>
      <c r="S16" s="318"/>
      <c r="T16" s="319"/>
      <c r="U16" s="320" t="e">
        <f t="shared" ref="U16:U20" si="3">IF(F16=3,G16,"")</f>
        <v>#N/A</v>
      </c>
      <c r="V16" s="318"/>
      <c r="W16" s="318"/>
      <c r="X16" s="315" t="e">
        <f>IF($F16=3,X14*$Q$4,0)</f>
        <v>#N/A</v>
      </c>
      <c r="Y16" s="319"/>
      <c r="Z16" s="575"/>
      <c r="AA16" s="578"/>
    </row>
    <row r="17" spans="1:27" ht="16.95" customHeight="1">
      <c r="B17" s="321" t="e">
        <f>IF(COUNTIF(算出基礎情報!$C$19:$N$19,"&gt;=1")&gt;A12,EDATE(HLOOKUP(A12+1,算出基礎情報!$C$14:$N$32,2,FALSE),-1),HLOOKUP(A12,算出基礎情報!$C$14:$N$32,19,FALSE))</f>
        <v>#N/A</v>
      </c>
      <c r="C17" s="271"/>
      <c r="D17" s="259" t="s">
        <v>19</v>
      </c>
      <c r="E17" s="322" t="e">
        <f>HLOOKUP(A12,算出基礎情報!$C$14:$N$31,9,FALSE)</f>
        <v>#N/A</v>
      </c>
      <c r="F17" s="323" t="e">
        <f>HLOOKUP(A12,算出基礎情報!$C$14:$N$31,15,FALSE)</f>
        <v>#N/A</v>
      </c>
      <c r="G17" s="324" t="e">
        <f>IF(F17=0,0,算出基礎情報!$O$40)</f>
        <v>#N/A</v>
      </c>
      <c r="H17" s="325" t="e">
        <f>SUM(G15:G20)</f>
        <v>#N/A</v>
      </c>
      <c r="I17" s="305" t="e">
        <f>IF(SUM($G15:$G20)&gt;=1,$H17*I14,0)</f>
        <v>#N/A</v>
      </c>
      <c r="J17" s="326" t="e">
        <f>IF($F17=1,J14*$Q$4/2,IF($F17&gt;=3,J14*$Q$4,0))</f>
        <v>#N/A</v>
      </c>
      <c r="K17" s="307" t="e">
        <f>IF(SUM($F15:$F20)=0,0,K14*$Q$4)</f>
        <v>#N/A</v>
      </c>
      <c r="L17" s="327" t="e">
        <f>IF($F$10&lt;=SUM(I15:K20),$F$10,SUM(I15:K20))</f>
        <v>#N/A</v>
      </c>
      <c r="M17" s="305" t="e">
        <f>IF(SUM($G15:$G20)&gt;=1,$H17*M14,0)</f>
        <v>#N/A</v>
      </c>
      <c r="N17" s="326" t="e">
        <f>IF($F17=1,N14*$Q$4/2,IF($F17&gt;=3,N14*$Q$4,0))</f>
        <v>#N/A</v>
      </c>
      <c r="O17" s="307" t="e">
        <f>IF(SUM($F15:$F20)=0,0,O14*$Q$4)</f>
        <v>#N/A</v>
      </c>
      <c r="P17" s="327" t="e">
        <f>IF($H$10&lt;=SUM(M15:O20),$H$10,SUM(M15:O20))</f>
        <v>#N/A</v>
      </c>
      <c r="Q17" s="305" t="e">
        <f>IF(SUM($G15:$G20)&gt;=1,$H17*Q14,0)</f>
        <v>#N/A</v>
      </c>
      <c r="R17" s="326" t="e">
        <f>IF($F17&lt;=2,0,IF($F17&gt;=3,R14*$Q$4,0))</f>
        <v>#N/A</v>
      </c>
      <c r="S17" s="307" t="e">
        <f>IF(SUM($F15:$F20)=0,0,S14*$Q$4)</f>
        <v>#N/A</v>
      </c>
      <c r="T17" s="327" t="e">
        <f>IF($J$10&lt;=SUM(Q15:S20),$J$10,SUM(Q15:S20))</f>
        <v>#N/A</v>
      </c>
      <c r="U17" s="328" t="e">
        <f t="shared" si="3"/>
        <v>#N/A</v>
      </c>
      <c r="V17" s="329" t="e">
        <f>SUM(U15:U20)</f>
        <v>#N/A</v>
      </c>
      <c r="W17" s="307" t="e">
        <f>V17*W14</f>
        <v>#N/A</v>
      </c>
      <c r="X17" s="326" t="e">
        <f>IF($F17=3,X14*$Q$4,0)</f>
        <v>#N/A</v>
      </c>
      <c r="Y17" s="327" t="e">
        <f>IF($L$10&lt;=SUM(W15:X20),$L$10,SUM(W15:X20))</f>
        <v>#N/A</v>
      </c>
      <c r="Z17" s="575"/>
      <c r="AA17" s="578"/>
    </row>
    <row r="18" spans="1:27" ht="16.95" customHeight="1">
      <c r="B18" s="330" t="s">
        <v>241</v>
      </c>
      <c r="C18" s="331"/>
      <c r="D18" s="312" t="s">
        <v>20</v>
      </c>
      <c r="E18" s="313" t="e">
        <f>HLOOKUP(A12,算出基礎情報!$C$14:$N$31,10,FALSE)</f>
        <v>#N/A</v>
      </c>
      <c r="F18" s="314" t="e">
        <f>HLOOKUP(A12,算出基礎情報!$C$14:$N$31,16,FALSE)</f>
        <v>#N/A</v>
      </c>
      <c r="G18" s="315" t="e">
        <f>IF(F18=0,0,算出基礎情報!$O$41)</f>
        <v>#N/A</v>
      </c>
      <c r="H18" s="316"/>
      <c r="I18" s="317"/>
      <c r="J18" s="315" t="e">
        <f>IF($F18=1,J14*$Q$4/2,IF($F18&gt;=3,J14*$Q$4,0))</f>
        <v>#N/A</v>
      </c>
      <c r="K18" s="318"/>
      <c r="L18" s="319"/>
      <c r="M18" s="317"/>
      <c r="N18" s="315" t="e">
        <f>IF($F18=1,N14*$Q$4/2,IF($F18&gt;=3,N14*$Q$4,0))</f>
        <v>#N/A</v>
      </c>
      <c r="O18" s="318"/>
      <c r="P18" s="319"/>
      <c r="Q18" s="317"/>
      <c r="R18" s="315" t="e">
        <f>IF($F18&lt;=2,0,IF($F18&gt;=3,R14*$Q$4,0))</f>
        <v>#N/A</v>
      </c>
      <c r="S18" s="318"/>
      <c r="T18" s="319"/>
      <c r="U18" s="320" t="e">
        <f t="shared" si="3"/>
        <v>#N/A</v>
      </c>
      <c r="V18" s="318"/>
      <c r="W18" s="318"/>
      <c r="X18" s="315" t="e">
        <f>IF($F18=3,X14*$Q$4,0)</f>
        <v>#N/A</v>
      </c>
      <c r="Y18" s="319"/>
      <c r="Z18" s="575"/>
      <c r="AA18" s="578"/>
    </row>
    <row r="19" spans="1:27" ht="16.95" customHeight="1">
      <c r="B19" s="580">
        <f>IF(ISNA(B17),0,DATEDIF(B15,B17,"M")+1)</f>
        <v>0</v>
      </c>
      <c r="C19" s="331"/>
      <c r="D19" s="259" t="s">
        <v>21</v>
      </c>
      <c r="E19" s="322" t="e">
        <f>HLOOKUP(A12,算出基礎情報!$C$14:$N$31,11,FALSE)</f>
        <v>#N/A</v>
      </c>
      <c r="F19" s="323" t="e">
        <f>HLOOKUP(A12,算出基礎情報!$C$14:$N$31,17,FALSE)</f>
        <v>#N/A</v>
      </c>
      <c r="G19" s="324" t="e">
        <f>IF(F19=0,0,算出基礎情報!$O$42)</f>
        <v>#N/A</v>
      </c>
      <c r="H19" s="304"/>
      <c r="I19" s="305"/>
      <c r="J19" s="326" t="e">
        <f>IF($F19=1,J14*$Q$4/2,IF($F19&gt;=3,J14*$Q$4,0))</f>
        <v>#N/A</v>
      </c>
      <c r="K19" s="307"/>
      <c r="L19" s="308"/>
      <c r="M19" s="305"/>
      <c r="N19" s="326" t="e">
        <f>IF($F19=1,N14*$Q$4/2,IF($F19&gt;=3,N14*$Q$4,0))</f>
        <v>#N/A</v>
      </c>
      <c r="O19" s="307"/>
      <c r="P19" s="308"/>
      <c r="Q19" s="305"/>
      <c r="R19" s="326" t="e">
        <f>IF($F19&lt;=2,0,IF($F19&gt;=3,R14*$Q$4,0))</f>
        <v>#N/A</v>
      </c>
      <c r="S19" s="307"/>
      <c r="T19" s="308"/>
      <c r="U19" s="328" t="e">
        <f t="shared" si="3"/>
        <v>#N/A</v>
      </c>
      <c r="V19" s="307"/>
      <c r="W19" s="307"/>
      <c r="X19" s="326" t="e">
        <f>IF($F19=3,X14*$Q$4,0)</f>
        <v>#N/A</v>
      </c>
      <c r="Y19" s="308"/>
      <c r="Z19" s="575"/>
      <c r="AA19" s="578"/>
    </row>
    <row r="20" spans="1:27" ht="16.95" customHeight="1" thickBot="1">
      <c r="B20" s="581"/>
      <c r="C20" s="331"/>
      <c r="D20" s="312" t="s">
        <v>22</v>
      </c>
      <c r="E20" s="313" t="e">
        <f>HLOOKUP(A12,算出基礎情報!$C$14:$N$31,12,FALSE)</f>
        <v>#N/A</v>
      </c>
      <c r="F20" s="314" t="e">
        <f>HLOOKUP(A12,算出基礎情報!$C$14:$N$31,18,FALSE)</f>
        <v>#N/A</v>
      </c>
      <c r="G20" s="315" t="e">
        <f>IF(F20=0,0,算出基礎情報!$O$43)</f>
        <v>#N/A</v>
      </c>
      <c r="H20" s="332"/>
      <c r="I20" s="333"/>
      <c r="J20" s="334" t="e">
        <f>IF($F20=1,J14*$Q$4/2,IF($F20&gt;=3,J14*$Q$4,0))</f>
        <v>#N/A</v>
      </c>
      <c r="K20" s="335"/>
      <c r="L20" s="336"/>
      <c r="M20" s="333"/>
      <c r="N20" s="334" t="e">
        <f>IF($F20=1,N14*$Q$4/2,IF($F20&gt;=3,N14*$Q$4,0))</f>
        <v>#N/A</v>
      </c>
      <c r="O20" s="335"/>
      <c r="P20" s="336"/>
      <c r="Q20" s="333"/>
      <c r="R20" s="334" t="e">
        <f>IF($F20&lt;=2,0,IF($F20&gt;=3,R14*$Q$4,0))</f>
        <v>#N/A</v>
      </c>
      <c r="S20" s="335"/>
      <c r="T20" s="336"/>
      <c r="U20" s="337" t="e">
        <f t="shared" si="3"/>
        <v>#N/A</v>
      </c>
      <c r="V20" s="335"/>
      <c r="W20" s="335"/>
      <c r="X20" s="334" t="e">
        <f>IF($F20=3,X14*$Q$4,0)</f>
        <v>#N/A</v>
      </c>
      <c r="Y20" s="336"/>
      <c r="Z20" s="576"/>
      <c r="AA20" s="579"/>
    </row>
    <row r="21" spans="1:27" ht="16.95" customHeight="1" thickTop="1">
      <c r="B21" s="356"/>
      <c r="C21" s="357"/>
      <c r="D21" s="571" t="str">
        <f>"（"&amp;A12&amp;") 月割税額"</f>
        <v>（1) 月割税額</v>
      </c>
      <c r="E21" s="572"/>
      <c r="F21" s="572"/>
      <c r="G21" s="572" t="str">
        <f>"（"&amp;$B19&amp;"/"&amp;12&amp;"か月）"</f>
        <v>（0/12か月）</v>
      </c>
      <c r="H21" s="573"/>
      <c r="I21" s="359">
        <f>IF($B19=0,0,SUM(I15:I20)*$B19/$P$6)</f>
        <v>0</v>
      </c>
      <c r="J21" s="359">
        <f t="shared" ref="J21:Y21" si="4">IF($B19=0,0,SUM(J15:J20)*$B19/$P$6)</f>
        <v>0</v>
      </c>
      <c r="K21" s="359">
        <f t="shared" si="4"/>
        <v>0</v>
      </c>
      <c r="L21" s="359">
        <f t="shared" si="4"/>
        <v>0</v>
      </c>
      <c r="M21" s="359">
        <f t="shared" si="4"/>
        <v>0</v>
      </c>
      <c r="N21" s="359">
        <f t="shared" si="4"/>
        <v>0</v>
      </c>
      <c r="O21" s="359">
        <f t="shared" si="4"/>
        <v>0</v>
      </c>
      <c r="P21" s="359">
        <f t="shared" si="4"/>
        <v>0</v>
      </c>
      <c r="Q21" s="359">
        <f t="shared" si="4"/>
        <v>0</v>
      </c>
      <c r="R21" s="359">
        <f t="shared" si="4"/>
        <v>0</v>
      </c>
      <c r="S21" s="359">
        <f t="shared" si="4"/>
        <v>0</v>
      </c>
      <c r="T21" s="359">
        <f t="shared" si="4"/>
        <v>0</v>
      </c>
      <c r="U21" s="359">
        <f t="shared" si="4"/>
        <v>0</v>
      </c>
      <c r="V21" s="359">
        <f t="shared" si="4"/>
        <v>0</v>
      </c>
      <c r="W21" s="359">
        <f t="shared" si="4"/>
        <v>0</v>
      </c>
      <c r="X21" s="359">
        <f t="shared" si="4"/>
        <v>0</v>
      </c>
      <c r="Y21" s="359">
        <f t="shared" si="4"/>
        <v>0</v>
      </c>
      <c r="Z21" s="359">
        <f>L21+P21+T21+Y21</f>
        <v>0</v>
      </c>
      <c r="AA21" s="360"/>
    </row>
    <row r="22" spans="1:27" ht="18" customHeight="1" thickBot="1"/>
    <row r="23" spans="1:27" ht="16.95" customHeight="1" thickTop="1">
      <c r="A23" s="594">
        <v>2</v>
      </c>
      <c r="B23" s="596" t="s">
        <v>231</v>
      </c>
      <c r="C23" s="271"/>
      <c r="D23" s="599" t="s">
        <v>232</v>
      </c>
      <c r="E23" s="602" t="s">
        <v>233</v>
      </c>
      <c r="F23" s="605" t="s">
        <v>234</v>
      </c>
      <c r="G23" s="608" t="s">
        <v>235</v>
      </c>
      <c r="H23" s="609"/>
      <c r="I23" s="272" t="s">
        <v>24</v>
      </c>
      <c r="J23" s="273"/>
      <c r="K23" s="612">
        <f>$P$4</f>
        <v>7</v>
      </c>
      <c r="L23" s="613"/>
      <c r="M23" s="274" t="s">
        <v>25</v>
      </c>
      <c r="N23" s="275"/>
      <c r="O23" s="614">
        <f>$P$4</f>
        <v>7</v>
      </c>
      <c r="P23" s="615"/>
      <c r="Q23" s="276" t="s">
        <v>236</v>
      </c>
      <c r="R23" s="277"/>
      <c r="S23" s="616">
        <f>$P$4</f>
        <v>7</v>
      </c>
      <c r="T23" s="617"/>
      <c r="U23" s="278" t="s">
        <v>237</v>
      </c>
      <c r="V23" s="279"/>
      <c r="W23" s="279"/>
      <c r="X23" s="618">
        <f>$P$4</f>
        <v>7</v>
      </c>
      <c r="Y23" s="619"/>
      <c r="Z23" s="610" t="s">
        <v>238</v>
      </c>
      <c r="AA23" s="611"/>
    </row>
    <row r="24" spans="1:27" ht="16.95" customHeight="1">
      <c r="A24" s="595"/>
      <c r="B24" s="597"/>
      <c r="C24" s="271"/>
      <c r="D24" s="600"/>
      <c r="E24" s="603"/>
      <c r="F24" s="606"/>
      <c r="G24" s="582" t="s">
        <v>239</v>
      </c>
      <c r="H24" s="583"/>
      <c r="I24" s="280" t="s">
        <v>40</v>
      </c>
      <c r="J24" s="281" t="s">
        <v>46</v>
      </c>
      <c r="K24" s="281" t="s">
        <v>228</v>
      </c>
      <c r="L24" s="584" t="s">
        <v>229</v>
      </c>
      <c r="M24" s="282" t="s">
        <v>40</v>
      </c>
      <c r="N24" s="283" t="s">
        <v>46</v>
      </c>
      <c r="O24" s="283" t="s">
        <v>228</v>
      </c>
      <c r="P24" s="586" t="s">
        <v>229</v>
      </c>
      <c r="Q24" s="284" t="s">
        <v>40</v>
      </c>
      <c r="R24" s="285" t="s">
        <v>46</v>
      </c>
      <c r="S24" s="285" t="s">
        <v>228</v>
      </c>
      <c r="T24" s="588" t="s">
        <v>229</v>
      </c>
      <c r="U24" s="590" t="s">
        <v>235</v>
      </c>
      <c r="V24" s="591"/>
      <c r="W24" s="286" t="s">
        <v>40</v>
      </c>
      <c r="X24" s="286" t="s">
        <v>46</v>
      </c>
      <c r="Y24" s="592" t="s">
        <v>229</v>
      </c>
      <c r="Z24" s="346" t="s">
        <v>249</v>
      </c>
      <c r="AA24" s="349" t="s">
        <v>248</v>
      </c>
    </row>
    <row r="25" spans="1:27" ht="16.95" customHeight="1" thickBot="1">
      <c r="B25" s="598"/>
      <c r="C25" s="271"/>
      <c r="D25" s="601"/>
      <c r="E25" s="604"/>
      <c r="F25" s="607"/>
      <c r="G25" s="348" t="s">
        <v>240</v>
      </c>
      <c r="H25" s="288" t="s">
        <v>43</v>
      </c>
      <c r="I25" s="289">
        <f>算出基礎情報!$J$5</f>
        <v>7.6799999999999993E-2</v>
      </c>
      <c r="J25" s="290">
        <f>算出基礎情報!$K$5</f>
        <v>30000</v>
      </c>
      <c r="K25" s="290">
        <f>算出基礎情報!$M$5</f>
        <v>29000</v>
      </c>
      <c r="L25" s="585"/>
      <c r="M25" s="291">
        <f>算出基礎情報!$J$6</f>
        <v>2.8299999999999999E-2</v>
      </c>
      <c r="N25" s="292">
        <f>算出基礎情報!$K$6</f>
        <v>11000</v>
      </c>
      <c r="O25" s="292">
        <f>算出基礎情報!$M$6</f>
        <v>11000</v>
      </c>
      <c r="P25" s="587"/>
      <c r="Q25" s="293">
        <f>算出基礎情報!$J$8</f>
        <v>2.7000000000000001E-3</v>
      </c>
      <c r="R25" s="294">
        <f>算出基礎情報!$K$8+算出基礎情報!$L$8</f>
        <v>1000</v>
      </c>
      <c r="S25" s="294">
        <f>算出基礎情報!$M$8</f>
        <v>1000</v>
      </c>
      <c r="T25" s="589"/>
      <c r="U25" s="295" t="s">
        <v>240</v>
      </c>
      <c r="V25" s="296" t="s">
        <v>43</v>
      </c>
      <c r="W25" s="297">
        <f>算出基礎情報!$J$7</f>
        <v>2.3099999999999999E-2</v>
      </c>
      <c r="X25" s="298">
        <f>算出基礎情報!$K$7</f>
        <v>18000</v>
      </c>
      <c r="Y25" s="593"/>
      <c r="Z25" s="350" t="s">
        <v>250</v>
      </c>
      <c r="AA25" s="358" t="s">
        <v>272</v>
      </c>
    </row>
    <row r="26" spans="1:27" ht="16.95" customHeight="1" thickTop="1">
      <c r="B26" s="299" t="e">
        <f>HLOOKUP(A23,算出基礎情報!$C$14:$N$31,2,FALSE)</f>
        <v>#N/A</v>
      </c>
      <c r="C26" s="271"/>
      <c r="D26" s="300" t="s">
        <v>10</v>
      </c>
      <c r="E26" s="301" t="e">
        <f>HLOOKUP(A23,算出基礎情報!$C$14:$N$31,7,FALSE)</f>
        <v>#N/A</v>
      </c>
      <c r="F26" s="302" t="e">
        <f>HLOOKUP(A23,算出基礎情報!$C$14:$N$31,13,FALSE)</f>
        <v>#N/A</v>
      </c>
      <c r="G26" s="303" t="e">
        <f>IF(F26=0,0,算出基礎情報!$O$38)</f>
        <v>#N/A</v>
      </c>
      <c r="H26" s="304"/>
      <c r="I26" s="305"/>
      <c r="J26" s="306" t="e">
        <f>IF($F26=1,J25*$Q$4/2,IF($F26&gt;=3,J25*$Q$4,0))</f>
        <v>#N/A</v>
      </c>
      <c r="K26" s="307"/>
      <c r="L26" s="308"/>
      <c r="M26" s="305"/>
      <c r="N26" s="306" t="e">
        <f>IF($F26=1,N25*$Q$4/2,IF($F26&gt;=3,N25*$Q$4,0))</f>
        <v>#N/A</v>
      </c>
      <c r="O26" s="307"/>
      <c r="P26" s="308"/>
      <c r="Q26" s="305"/>
      <c r="R26" s="306" t="e">
        <f>IF($F26&lt;=2,0,IF($F26&gt;=3,R25*$Q$4,0))</f>
        <v>#N/A</v>
      </c>
      <c r="S26" s="307"/>
      <c r="T26" s="308"/>
      <c r="U26" s="309" t="e">
        <f>IF(F26=3,G26,"")</f>
        <v>#N/A</v>
      </c>
      <c r="V26" s="307"/>
      <c r="W26" s="307"/>
      <c r="X26" s="306" t="e">
        <f>IF($F26=3,X25*$Q$4,0)</f>
        <v>#N/A</v>
      </c>
      <c r="Y26" s="308"/>
      <c r="Z26" s="574" t="e">
        <f>ROUNDDOWN(L28,-2)+ROUNDDOWN(P28,-2)+ROUNDDOWN(T28,-2)+ROUNDDOWN(Y28,-2)</f>
        <v>#N/A</v>
      </c>
      <c r="AA26" s="577" t="e">
        <f>ROUNDDOWN(Z26/12,0)</f>
        <v>#N/A</v>
      </c>
    </row>
    <row r="27" spans="1:27" ht="16.95" customHeight="1">
      <c r="B27" s="310" t="s">
        <v>203</v>
      </c>
      <c r="C27" s="311"/>
      <c r="D27" s="312" t="s">
        <v>17</v>
      </c>
      <c r="E27" s="313" t="e">
        <f>HLOOKUP(A23,算出基礎情報!$C$14:$N$31,8,FALSE)</f>
        <v>#N/A</v>
      </c>
      <c r="F27" s="314" t="e">
        <f>HLOOKUP(A23,算出基礎情報!$C$14:$N$31,14,FALSE)</f>
        <v>#N/A</v>
      </c>
      <c r="G27" s="315" t="e">
        <f>IF(F27=0,0,算出基礎情報!$O$39)</f>
        <v>#N/A</v>
      </c>
      <c r="H27" s="316"/>
      <c r="I27" s="317"/>
      <c r="J27" s="315" t="e">
        <f>IF($F27=1,J25*$Q$4/2,IF($F27&gt;=3,J25*$Q$4,0))</f>
        <v>#N/A</v>
      </c>
      <c r="K27" s="318"/>
      <c r="L27" s="319"/>
      <c r="M27" s="317"/>
      <c r="N27" s="315" t="e">
        <f>IF($F27=1,N25*$Q$4/2,IF($F27&gt;=3,N25*$Q$4,0))</f>
        <v>#N/A</v>
      </c>
      <c r="O27" s="318"/>
      <c r="P27" s="319"/>
      <c r="Q27" s="317"/>
      <c r="R27" s="315" t="e">
        <f>IF($F27&lt;=2,0,IF($F27&gt;=3,R25*$Q$4,0))</f>
        <v>#N/A</v>
      </c>
      <c r="S27" s="318"/>
      <c r="T27" s="319"/>
      <c r="U27" s="320" t="e">
        <f t="shared" ref="U27:U31" si="5">IF(F27=3,G27,"")</f>
        <v>#N/A</v>
      </c>
      <c r="V27" s="318"/>
      <c r="W27" s="318"/>
      <c r="X27" s="315" t="e">
        <f>IF($F27=3,X25*$Q$4,0)</f>
        <v>#N/A</v>
      </c>
      <c r="Y27" s="319"/>
      <c r="Z27" s="575"/>
      <c r="AA27" s="578"/>
    </row>
    <row r="28" spans="1:27" ht="16.95" customHeight="1">
      <c r="B28" s="321" t="e">
        <f>IF(COUNTIF(算出基礎情報!$C$19:$N$19,"&gt;=1")&gt;A23,EDATE(HLOOKUP(A23+1,算出基礎情報!$C$14:$N$32,2,FALSE),-1),HLOOKUP(A23,算出基礎情報!$C$14:$N$32,19,FALSE))</f>
        <v>#N/A</v>
      </c>
      <c r="C28" s="271"/>
      <c r="D28" s="259" t="s">
        <v>19</v>
      </c>
      <c r="E28" s="322" t="e">
        <f>HLOOKUP(A23,算出基礎情報!$C$14:$N$31,9,FALSE)</f>
        <v>#N/A</v>
      </c>
      <c r="F28" s="323" t="e">
        <f>HLOOKUP(A23,算出基礎情報!$C$14:$N$31,15,FALSE)</f>
        <v>#N/A</v>
      </c>
      <c r="G28" s="324" t="e">
        <f>IF(F28=0,0,算出基礎情報!$O$40)</f>
        <v>#N/A</v>
      </c>
      <c r="H28" s="325" t="e">
        <f>SUM(G26:G31)</f>
        <v>#N/A</v>
      </c>
      <c r="I28" s="305" t="e">
        <f>IF(SUM($G26:$G31)&gt;=1,$H28*I25,0)</f>
        <v>#N/A</v>
      </c>
      <c r="J28" s="326" t="e">
        <f>IF($F28=1,J25*$Q$4/2,IF($F28&gt;=3,J25*$Q$4,0))</f>
        <v>#N/A</v>
      </c>
      <c r="K28" s="307" t="e">
        <f>IF(SUM($F26:$F31)=0,0,K25*$Q$4)</f>
        <v>#N/A</v>
      </c>
      <c r="L28" s="327" t="e">
        <f>IF($F$10&lt;=SUM(I26:K31),$F$10,SUM(I26:K31))</f>
        <v>#N/A</v>
      </c>
      <c r="M28" s="305" t="e">
        <f>IF(SUM($G26:$G31)&gt;=1,$H28*M25,0)</f>
        <v>#N/A</v>
      </c>
      <c r="N28" s="326" t="e">
        <f>IF($F28=1,N25*$Q$4/2,IF($F28&gt;=3,N25*$Q$4,0))</f>
        <v>#N/A</v>
      </c>
      <c r="O28" s="307" t="e">
        <f>IF(SUM($F26:$F31)=0,0,O25*$Q$4)</f>
        <v>#N/A</v>
      </c>
      <c r="P28" s="327" t="e">
        <f>IF($H$10&lt;=SUM(M26:O31),$H$10,SUM(M26:O31))</f>
        <v>#N/A</v>
      </c>
      <c r="Q28" s="305" t="e">
        <f>IF(SUM($G26:$G31)&gt;=1,$H28*Q25,0)</f>
        <v>#N/A</v>
      </c>
      <c r="R28" s="326" t="e">
        <f>IF($F28&lt;=2,0,IF($F28&gt;=3,R25*$Q$4,0))</f>
        <v>#N/A</v>
      </c>
      <c r="S28" s="307" t="e">
        <f>IF(SUM($F26:$F31)=0,0,S25*$Q$4)</f>
        <v>#N/A</v>
      </c>
      <c r="T28" s="327" t="e">
        <f>IF($J$10&lt;=SUM(Q26:S31),$J$10,SUM(Q26:S31))</f>
        <v>#N/A</v>
      </c>
      <c r="U28" s="328" t="e">
        <f t="shared" si="5"/>
        <v>#N/A</v>
      </c>
      <c r="V28" s="329" t="e">
        <f>SUM(U26:U31)</f>
        <v>#N/A</v>
      </c>
      <c r="W28" s="307" t="e">
        <f>V28*W25</f>
        <v>#N/A</v>
      </c>
      <c r="X28" s="326" t="e">
        <f>IF($F28=3,X25*$Q$4,0)</f>
        <v>#N/A</v>
      </c>
      <c r="Y28" s="327" t="e">
        <f>IF($L$10&lt;=SUM(W26:X31),$L$10,SUM(W26:X31))</f>
        <v>#N/A</v>
      </c>
      <c r="Z28" s="575"/>
      <c r="AA28" s="578"/>
    </row>
    <row r="29" spans="1:27" ht="16.95" customHeight="1">
      <c r="B29" s="330" t="s">
        <v>241</v>
      </c>
      <c r="C29" s="331"/>
      <c r="D29" s="312" t="s">
        <v>20</v>
      </c>
      <c r="E29" s="313" t="e">
        <f>HLOOKUP(A23,算出基礎情報!$C$14:$N$31,10,FALSE)</f>
        <v>#N/A</v>
      </c>
      <c r="F29" s="314" t="e">
        <f>HLOOKUP(A23,算出基礎情報!$C$14:$N$31,16,FALSE)</f>
        <v>#N/A</v>
      </c>
      <c r="G29" s="315" t="e">
        <f>IF(F29=0,0,算出基礎情報!$O$41)</f>
        <v>#N/A</v>
      </c>
      <c r="H29" s="316"/>
      <c r="I29" s="317"/>
      <c r="J29" s="315" t="e">
        <f>IF($F29=1,J25*$Q$4/2,IF($F29&gt;=3,J25*$Q$4,0))</f>
        <v>#N/A</v>
      </c>
      <c r="K29" s="318"/>
      <c r="L29" s="319"/>
      <c r="M29" s="317"/>
      <c r="N29" s="315" t="e">
        <f>IF($F29=1,N25*$Q$4/2,IF($F29&gt;=3,N25*$Q$4,0))</f>
        <v>#N/A</v>
      </c>
      <c r="O29" s="318"/>
      <c r="P29" s="319"/>
      <c r="Q29" s="317"/>
      <c r="R29" s="315" t="e">
        <f>IF($F29&lt;=2,0,IF($F29&gt;=3,R25*$Q$4,0))</f>
        <v>#N/A</v>
      </c>
      <c r="S29" s="318"/>
      <c r="T29" s="319"/>
      <c r="U29" s="320" t="e">
        <f t="shared" si="5"/>
        <v>#N/A</v>
      </c>
      <c r="V29" s="318"/>
      <c r="W29" s="318"/>
      <c r="X29" s="315" t="e">
        <f>IF($F29=3,X25*$Q$4,0)</f>
        <v>#N/A</v>
      </c>
      <c r="Y29" s="319"/>
      <c r="Z29" s="575"/>
      <c r="AA29" s="578"/>
    </row>
    <row r="30" spans="1:27" ht="16.95" customHeight="1">
      <c r="B30" s="580">
        <f>IF(ISNA(B28),0,DATEDIF(B26,B28,"M")+1)</f>
        <v>0</v>
      </c>
      <c r="C30" s="331"/>
      <c r="D30" s="259" t="s">
        <v>21</v>
      </c>
      <c r="E30" s="322" t="e">
        <f>HLOOKUP(A23,算出基礎情報!$C$14:$N$31,11,FALSE)</f>
        <v>#N/A</v>
      </c>
      <c r="F30" s="323" t="e">
        <f>HLOOKUP(A23,算出基礎情報!$C$14:$N$31,17,FALSE)</f>
        <v>#N/A</v>
      </c>
      <c r="G30" s="324" t="e">
        <f>IF(F30=0,0,算出基礎情報!$O$42)</f>
        <v>#N/A</v>
      </c>
      <c r="H30" s="304"/>
      <c r="I30" s="305"/>
      <c r="J30" s="326" t="e">
        <f>IF($F30=1,J25*$Q$4/2,IF($F30&gt;=3,J25*$Q$4,0))</f>
        <v>#N/A</v>
      </c>
      <c r="K30" s="307"/>
      <c r="L30" s="308"/>
      <c r="M30" s="305"/>
      <c r="N30" s="326" t="e">
        <f>IF($F30=1,N25*$Q$4/2,IF($F30&gt;=3,N25*$Q$4,0))</f>
        <v>#N/A</v>
      </c>
      <c r="O30" s="307"/>
      <c r="P30" s="308"/>
      <c r="Q30" s="305"/>
      <c r="R30" s="326" t="e">
        <f>IF($F30&lt;=2,0,IF($F30&gt;=3,R25*$Q$4,0))</f>
        <v>#N/A</v>
      </c>
      <c r="S30" s="307"/>
      <c r="T30" s="308"/>
      <c r="U30" s="328" t="e">
        <f t="shared" si="5"/>
        <v>#N/A</v>
      </c>
      <c r="V30" s="307"/>
      <c r="W30" s="307"/>
      <c r="X30" s="326" t="e">
        <f>IF($F30=3,X25*$Q$4,0)</f>
        <v>#N/A</v>
      </c>
      <c r="Y30" s="308"/>
      <c r="Z30" s="575"/>
      <c r="AA30" s="578"/>
    </row>
    <row r="31" spans="1:27" ht="16.95" customHeight="1" thickBot="1">
      <c r="B31" s="581"/>
      <c r="C31" s="331"/>
      <c r="D31" s="312" t="s">
        <v>22</v>
      </c>
      <c r="E31" s="313" t="e">
        <f>HLOOKUP(A23,算出基礎情報!$C$14:$N$31,12,FALSE)</f>
        <v>#N/A</v>
      </c>
      <c r="F31" s="314" t="e">
        <f>HLOOKUP(A23,算出基礎情報!$C$14:$N$31,18,FALSE)</f>
        <v>#N/A</v>
      </c>
      <c r="G31" s="315" t="e">
        <f>IF(F31=0,0,算出基礎情報!$O$43)</f>
        <v>#N/A</v>
      </c>
      <c r="H31" s="332"/>
      <c r="I31" s="333"/>
      <c r="J31" s="334" t="e">
        <f>IF($F31=1,J25*$Q$4/2,IF($F31&gt;=3,J25*$Q$4,0))</f>
        <v>#N/A</v>
      </c>
      <c r="K31" s="335"/>
      <c r="L31" s="336"/>
      <c r="M31" s="333"/>
      <c r="N31" s="334" t="e">
        <f>IF($F31=1,N25*$Q$4/2,IF($F31&gt;=3,N25*$Q$4,0))</f>
        <v>#N/A</v>
      </c>
      <c r="O31" s="335"/>
      <c r="P31" s="336"/>
      <c r="Q31" s="333"/>
      <c r="R31" s="334" t="e">
        <f>IF($F31&lt;=2,0,IF($F31&gt;=3,R25*$Q$4,0))</f>
        <v>#N/A</v>
      </c>
      <c r="S31" s="335"/>
      <c r="T31" s="336"/>
      <c r="U31" s="337" t="e">
        <f t="shared" si="5"/>
        <v>#N/A</v>
      </c>
      <c r="V31" s="335"/>
      <c r="W31" s="335"/>
      <c r="X31" s="334" t="e">
        <f>IF($F31=3,X25*$Q$4,0)</f>
        <v>#N/A</v>
      </c>
      <c r="Y31" s="336"/>
      <c r="Z31" s="576"/>
      <c r="AA31" s="579"/>
    </row>
    <row r="32" spans="1:27" ht="16.95" customHeight="1" thickTop="1">
      <c r="B32" s="356"/>
      <c r="C32" s="357"/>
      <c r="D32" s="571" t="str">
        <f>"（"&amp;A23&amp;") 月割税額"</f>
        <v>（2) 月割税額</v>
      </c>
      <c r="E32" s="572"/>
      <c r="F32" s="572"/>
      <c r="G32" s="572" t="str">
        <f>"（"&amp;$B30&amp;"/"&amp;12&amp;"か月）"</f>
        <v>（0/12か月）</v>
      </c>
      <c r="H32" s="573"/>
      <c r="I32" s="359">
        <f>IF($B30=0,0,SUM(I26:I31)*$B30/$P$6)</f>
        <v>0</v>
      </c>
      <c r="J32" s="359">
        <f t="shared" ref="J32" si="6">IF($B30=0,0,SUM(J26:J31)*$B30/$P$6)</f>
        <v>0</v>
      </c>
      <c r="K32" s="359">
        <f t="shared" ref="K32" si="7">IF($B30=0,0,SUM(K26:K31)*$B30/$P$6)</f>
        <v>0</v>
      </c>
      <c r="L32" s="359">
        <f t="shared" ref="L32" si="8">IF($B30=0,0,SUM(L26:L31)*$B30/$P$6)</f>
        <v>0</v>
      </c>
      <c r="M32" s="359">
        <f t="shared" ref="M32" si="9">IF($B30=0,0,SUM(M26:M31)*$B30/$P$6)</f>
        <v>0</v>
      </c>
      <c r="N32" s="359">
        <f t="shared" ref="N32" si="10">IF($B30=0,0,SUM(N26:N31)*$B30/$P$6)</f>
        <v>0</v>
      </c>
      <c r="O32" s="359">
        <f t="shared" ref="O32" si="11">IF($B30=0,0,SUM(O26:O31)*$B30/$P$6)</f>
        <v>0</v>
      </c>
      <c r="P32" s="359">
        <f t="shared" ref="P32" si="12">IF($B30=0,0,SUM(P26:P31)*$B30/$P$6)</f>
        <v>0</v>
      </c>
      <c r="Q32" s="359">
        <f t="shared" ref="Q32" si="13">IF($B30=0,0,SUM(Q26:Q31)*$B30/$P$6)</f>
        <v>0</v>
      </c>
      <c r="R32" s="359">
        <f t="shared" ref="R32" si="14">IF($B30=0,0,SUM(R26:R31)*$B30/$P$6)</f>
        <v>0</v>
      </c>
      <c r="S32" s="359">
        <f t="shared" ref="S32" si="15">IF($B30=0,0,SUM(S26:S31)*$B30/$P$6)</f>
        <v>0</v>
      </c>
      <c r="T32" s="359">
        <f t="shared" ref="T32" si="16">IF($B30=0,0,SUM(T26:T31)*$B30/$P$6)</f>
        <v>0</v>
      </c>
      <c r="U32" s="359">
        <f t="shared" ref="U32" si="17">IF($B30=0,0,SUM(U26:U31)*$B30/$P$6)</f>
        <v>0</v>
      </c>
      <c r="V32" s="359">
        <f t="shared" ref="V32" si="18">IF($B30=0,0,SUM(V26:V31)*$B30/$P$6)</f>
        <v>0</v>
      </c>
      <c r="W32" s="359">
        <f t="shared" ref="W32" si="19">IF($B30=0,0,SUM(W26:W31)*$B30/$P$6)</f>
        <v>0</v>
      </c>
      <c r="X32" s="359">
        <f t="shared" ref="X32" si="20">IF($B30=0,0,SUM(X26:X31)*$B30/$P$6)</f>
        <v>0</v>
      </c>
      <c r="Y32" s="359">
        <f t="shared" ref="Y32" si="21">IF($B30=0,0,SUM(Y26:Y31)*$B30/$P$6)</f>
        <v>0</v>
      </c>
      <c r="Z32" s="359">
        <f>L32+P32+T32+Y32</f>
        <v>0</v>
      </c>
      <c r="AA32" s="360"/>
    </row>
    <row r="33" spans="1:27" ht="18.45" customHeight="1" thickBot="1"/>
    <row r="34" spans="1:27" ht="16.95" customHeight="1" thickTop="1">
      <c r="A34" s="594">
        <v>3</v>
      </c>
      <c r="B34" s="596" t="s">
        <v>231</v>
      </c>
      <c r="C34" s="271"/>
      <c r="D34" s="599" t="s">
        <v>232</v>
      </c>
      <c r="E34" s="602" t="s">
        <v>233</v>
      </c>
      <c r="F34" s="605" t="s">
        <v>234</v>
      </c>
      <c r="G34" s="608" t="s">
        <v>235</v>
      </c>
      <c r="H34" s="609"/>
      <c r="I34" s="272" t="s">
        <v>24</v>
      </c>
      <c r="J34" s="273"/>
      <c r="K34" s="612">
        <f>$P$4</f>
        <v>7</v>
      </c>
      <c r="L34" s="613"/>
      <c r="M34" s="274" t="s">
        <v>25</v>
      </c>
      <c r="N34" s="275"/>
      <c r="O34" s="614">
        <f>$P$4</f>
        <v>7</v>
      </c>
      <c r="P34" s="615"/>
      <c r="Q34" s="276" t="s">
        <v>236</v>
      </c>
      <c r="R34" s="277"/>
      <c r="S34" s="616">
        <f>$P$4</f>
        <v>7</v>
      </c>
      <c r="T34" s="617"/>
      <c r="U34" s="278" t="s">
        <v>237</v>
      </c>
      <c r="V34" s="279"/>
      <c r="W34" s="279"/>
      <c r="X34" s="618">
        <f>$P$4</f>
        <v>7</v>
      </c>
      <c r="Y34" s="619"/>
      <c r="Z34" s="610" t="s">
        <v>238</v>
      </c>
      <c r="AA34" s="611"/>
    </row>
    <row r="35" spans="1:27" ht="16.95" customHeight="1">
      <c r="A35" s="595"/>
      <c r="B35" s="597"/>
      <c r="C35" s="271"/>
      <c r="D35" s="600"/>
      <c r="E35" s="603"/>
      <c r="F35" s="606"/>
      <c r="G35" s="582" t="s">
        <v>239</v>
      </c>
      <c r="H35" s="583"/>
      <c r="I35" s="280" t="s">
        <v>40</v>
      </c>
      <c r="J35" s="281" t="s">
        <v>46</v>
      </c>
      <c r="K35" s="281" t="s">
        <v>228</v>
      </c>
      <c r="L35" s="584" t="s">
        <v>229</v>
      </c>
      <c r="M35" s="282" t="s">
        <v>40</v>
      </c>
      <c r="N35" s="283" t="s">
        <v>46</v>
      </c>
      <c r="O35" s="283" t="s">
        <v>228</v>
      </c>
      <c r="P35" s="586" t="s">
        <v>229</v>
      </c>
      <c r="Q35" s="284" t="s">
        <v>40</v>
      </c>
      <c r="R35" s="285" t="s">
        <v>46</v>
      </c>
      <c r="S35" s="285" t="s">
        <v>228</v>
      </c>
      <c r="T35" s="588" t="s">
        <v>229</v>
      </c>
      <c r="U35" s="590" t="s">
        <v>235</v>
      </c>
      <c r="V35" s="591"/>
      <c r="W35" s="286" t="s">
        <v>40</v>
      </c>
      <c r="X35" s="286" t="s">
        <v>46</v>
      </c>
      <c r="Y35" s="592" t="s">
        <v>229</v>
      </c>
      <c r="Z35" s="346" t="s">
        <v>249</v>
      </c>
      <c r="AA35" s="349" t="s">
        <v>248</v>
      </c>
    </row>
    <row r="36" spans="1:27" ht="16.95" customHeight="1" thickBot="1">
      <c r="B36" s="598"/>
      <c r="C36" s="271"/>
      <c r="D36" s="601"/>
      <c r="E36" s="604"/>
      <c r="F36" s="607"/>
      <c r="G36" s="348" t="s">
        <v>240</v>
      </c>
      <c r="H36" s="288" t="s">
        <v>43</v>
      </c>
      <c r="I36" s="289">
        <f>算出基礎情報!$J$5</f>
        <v>7.6799999999999993E-2</v>
      </c>
      <c r="J36" s="290">
        <f>算出基礎情報!$K$5</f>
        <v>30000</v>
      </c>
      <c r="K36" s="290">
        <f>算出基礎情報!$M$5</f>
        <v>29000</v>
      </c>
      <c r="L36" s="585"/>
      <c r="M36" s="291">
        <f>算出基礎情報!$J$6</f>
        <v>2.8299999999999999E-2</v>
      </c>
      <c r="N36" s="292">
        <f>算出基礎情報!$K$6</f>
        <v>11000</v>
      </c>
      <c r="O36" s="292">
        <f>算出基礎情報!$M$6</f>
        <v>11000</v>
      </c>
      <c r="P36" s="587"/>
      <c r="Q36" s="293">
        <f>算出基礎情報!$J$8</f>
        <v>2.7000000000000001E-3</v>
      </c>
      <c r="R36" s="294">
        <f>算出基礎情報!$K$8+算出基礎情報!$L$8</f>
        <v>1000</v>
      </c>
      <c r="S36" s="294">
        <f>算出基礎情報!$M$8</f>
        <v>1000</v>
      </c>
      <c r="T36" s="589"/>
      <c r="U36" s="295" t="s">
        <v>240</v>
      </c>
      <c r="V36" s="296" t="s">
        <v>43</v>
      </c>
      <c r="W36" s="297">
        <f>算出基礎情報!$J$7</f>
        <v>2.3099999999999999E-2</v>
      </c>
      <c r="X36" s="298">
        <f>算出基礎情報!$K$7</f>
        <v>18000</v>
      </c>
      <c r="Y36" s="593"/>
      <c r="Z36" s="350" t="s">
        <v>250</v>
      </c>
      <c r="AA36" s="358" t="s">
        <v>272</v>
      </c>
    </row>
    <row r="37" spans="1:27" ht="16.95" customHeight="1" thickTop="1">
      <c r="B37" s="299" t="e">
        <f>HLOOKUP(A34,算出基礎情報!$C$14:$N$31,2,FALSE)</f>
        <v>#N/A</v>
      </c>
      <c r="C37" s="271"/>
      <c r="D37" s="300" t="s">
        <v>10</v>
      </c>
      <c r="E37" s="301" t="e">
        <f>HLOOKUP(A34,算出基礎情報!$C$14:$N$31,7,FALSE)</f>
        <v>#N/A</v>
      </c>
      <c r="F37" s="302" t="e">
        <f>HLOOKUP(A34,算出基礎情報!$C$14:$N$31,13,FALSE)</f>
        <v>#N/A</v>
      </c>
      <c r="G37" s="303" t="e">
        <f>IF(F37=0,0,算出基礎情報!$O$38)</f>
        <v>#N/A</v>
      </c>
      <c r="H37" s="304"/>
      <c r="I37" s="305"/>
      <c r="J37" s="306" t="e">
        <f>IF($F37=1,J36*$Q$4/2,IF($F37&gt;=3,J36*$Q$4,0))</f>
        <v>#N/A</v>
      </c>
      <c r="K37" s="307"/>
      <c r="L37" s="308"/>
      <c r="M37" s="305"/>
      <c r="N37" s="306" t="e">
        <f>IF($F37=1,N36*$Q$4/2,IF($F37&gt;=3,N36*$Q$4,0))</f>
        <v>#N/A</v>
      </c>
      <c r="O37" s="307"/>
      <c r="P37" s="308"/>
      <c r="Q37" s="305"/>
      <c r="R37" s="306" t="e">
        <f>IF($F37&lt;=2,0,IF($F37&gt;=3,R36*$Q$4,0))</f>
        <v>#N/A</v>
      </c>
      <c r="S37" s="307"/>
      <c r="T37" s="308"/>
      <c r="U37" s="309" t="e">
        <f>IF(F37=3,G37,"")</f>
        <v>#N/A</v>
      </c>
      <c r="V37" s="307"/>
      <c r="W37" s="307"/>
      <c r="X37" s="306" t="e">
        <f>IF($F37=3,X36*$Q$4,0)</f>
        <v>#N/A</v>
      </c>
      <c r="Y37" s="308"/>
      <c r="Z37" s="574" t="e">
        <f>ROUNDDOWN(L39,-2)+ROUNDDOWN(P39,-2)+ROUNDDOWN(T39,-2)+ROUNDDOWN(Y39,-2)</f>
        <v>#N/A</v>
      </c>
      <c r="AA37" s="577" t="e">
        <f>ROUNDDOWN(Z37/12,0)</f>
        <v>#N/A</v>
      </c>
    </row>
    <row r="38" spans="1:27" ht="16.95" customHeight="1">
      <c r="B38" s="310" t="s">
        <v>203</v>
      </c>
      <c r="C38" s="311"/>
      <c r="D38" s="312" t="s">
        <v>17</v>
      </c>
      <c r="E38" s="313" t="e">
        <f>HLOOKUP(A34,算出基礎情報!$C$14:$N$31,8,FALSE)</f>
        <v>#N/A</v>
      </c>
      <c r="F38" s="314" t="e">
        <f>HLOOKUP(A34,算出基礎情報!$C$14:$N$31,14,FALSE)</f>
        <v>#N/A</v>
      </c>
      <c r="G38" s="315" t="e">
        <f>IF(F38=0,0,算出基礎情報!$O$39)</f>
        <v>#N/A</v>
      </c>
      <c r="H38" s="316"/>
      <c r="I38" s="317"/>
      <c r="J38" s="315" t="e">
        <f>IF($F38=1,J36*$Q$4/2,IF($F38&gt;=3,J36*$Q$4,0))</f>
        <v>#N/A</v>
      </c>
      <c r="K38" s="318"/>
      <c r="L38" s="319"/>
      <c r="M38" s="317"/>
      <c r="N38" s="315" t="e">
        <f>IF($F38=1,N36*$Q$4/2,IF($F38&gt;=3,N36*$Q$4,0))</f>
        <v>#N/A</v>
      </c>
      <c r="O38" s="318"/>
      <c r="P38" s="319"/>
      <c r="Q38" s="317"/>
      <c r="R38" s="315" t="e">
        <f>IF($F38&lt;=2,0,IF($F38&gt;=3,R36*$Q$4,0))</f>
        <v>#N/A</v>
      </c>
      <c r="S38" s="318"/>
      <c r="T38" s="319"/>
      <c r="U38" s="320" t="e">
        <f t="shared" ref="U38:U42" si="22">IF(F38=3,G38,"")</f>
        <v>#N/A</v>
      </c>
      <c r="V38" s="318"/>
      <c r="W38" s="318"/>
      <c r="X38" s="315" t="e">
        <f>IF($F38=3,X36*$Q$4,0)</f>
        <v>#N/A</v>
      </c>
      <c r="Y38" s="319"/>
      <c r="Z38" s="575"/>
      <c r="AA38" s="578"/>
    </row>
    <row r="39" spans="1:27" ht="16.95" customHeight="1">
      <c r="B39" s="321" t="e">
        <f>IF(COUNTIF(算出基礎情報!$C$19:$N$19,"&gt;=1")&gt;A34,EDATE(HLOOKUP(A34+1,算出基礎情報!$C$14:$N$32,2,FALSE),-1),HLOOKUP(A34,算出基礎情報!$C$14:$N$32,19,FALSE))</f>
        <v>#N/A</v>
      </c>
      <c r="C39" s="271"/>
      <c r="D39" s="259" t="s">
        <v>19</v>
      </c>
      <c r="E39" s="322" t="e">
        <f>HLOOKUP(A34,算出基礎情報!$C$14:$N$31,9,FALSE)</f>
        <v>#N/A</v>
      </c>
      <c r="F39" s="323" t="e">
        <f>HLOOKUP(A34,算出基礎情報!$C$14:$N$31,15,FALSE)</f>
        <v>#N/A</v>
      </c>
      <c r="G39" s="324" t="e">
        <f>IF(F39=0,0,算出基礎情報!$O$40)</f>
        <v>#N/A</v>
      </c>
      <c r="H39" s="325" t="e">
        <f>SUM(G37:G42)</f>
        <v>#N/A</v>
      </c>
      <c r="I39" s="305" t="e">
        <f>IF(SUM($G37:$G42)&gt;=1,$H39*I36,0)</f>
        <v>#N/A</v>
      </c>
      <c r="J39" s="326" t="e">
        <f>IF($F39=1,J36*$Q$4/2,IF($F39&gt;=3,J36*$Q$4,0))</f>
        <v>#N/A</v>
      </c>
      <c r="K39" s="307" t="e">
        <f>IF(SUM($F37:$F42)=0,0,K36*$Q$4)</f>
        <v>#N/A</v>
      </c>
      <c r="L39" s="327" t="e">
        <f>IF($F$10&lt;=SUM(I37:K42),$F$10,SUM(I37:K42))</f>
        <v>#N/A</v>
      </c>
      <c r="M39" s="305" t="e">
        <f>IF(SUM($G37:$G42)&gt;=1,$H39*M36,0)</f>
        <v>#N/A</v>
      </c>
      <c r="N39" s="326" t="e">
        <f>IF($F39=1,N36*$Q$4/2,IF($F39&gt;=3,N36*$Q$4,0))</f>
        <v>#N/A</v>
      </c>
      <c r="O39" s="307" t="e">
        <f>IF(SUM($F37:$F42)=0,0,O36*$Q$4)</f>
        <v>#N/A</v>
      </c>
      <c r="P39" s="327" t="e">
        <f>IF($H$10&lt;=SUM(M37:O42),$H$10,SUM(M37:O42))</f>
        <v>#N/A</v>
      </c>
      <c r="Q39" s="305" t="e">
        <f>IF(SUM($G37:$G42)&gt;=1,$H39*Q36,0)</f>
        <v>#N/A</v>
      </c>
      <c r="R39" s="326" t="e">
        <f>IF($F39&lt;=2,0,IF($F39&gt;=3,R36*$Q$4,0))</f>
        <v>#N/A</v>
      </c>
      <c r="S39" s="307" t="e">
        <f>IF(SUM($F37:$F42)=0,0,S36*$Q$4)</f>
        <v>#N/A</v>
      </c>
      <c r="T39" s="327" t="e">
        <f>IF($J$10&lt;=SUM(Q37:S42),$J$10,SUM(Q37:S42))</f>
        <v>#N/A</v>
      </c>
      <c r="U39" s="328" t="e">
        <f t="shared" si="22"/>
        <v>#N/A</v>
      </c>
      <c r="V39" s="329" t="e">
        <f>SUM(U37:U42)</f>
        <v>#N/A</v>
      </c>
      <c r="W39" s="307" t="e">
        <f>V39*W36</f>
        <v>#N/A</v>
      </c>
      <c r="X39" s="326" t="e">
        <f>IF($F39=3,X36*$Q$4,0)</f>
        <v>#N/A</v>
      </c>
      <c r="Y39" s="327" t="e">
        <f>IF($L$10&lt;=SUM(W37:X42),$L$10,SUM(W37:X42))</f>
        <v>#N/A</v>
      </c>
      <c r="Z39" s="575"/>
      <c r="AA39" s="578"/>
    </row>
    <row r="40" spans="1:27" ht="16.95" customHeight="1">
      <c r="B40" s="330" t="s">
        <v>241</v>
      </c>
      <c r="C40" s="331"/>
      <c r="D40" s="312" t="s">
        <v>20</v>
      </c>
      <c r="E40" s="313" t="e">
        <f>HLOOKUP(A34,算出基礎情報!$C$14:$N$31,10,FALSE)</f>
        <v>#N/A</v>
      </c>
      <c r="F40" s="314" t="e">
        <f>HLOOKUP(A34,算出基礎情報!$C$14:$N$31,16,FALSE)</f>
        <v>#N/A</v>
      </c>
      <c r="G40" s="315" t="e">
        <f>IF(F40=0,0,算出基礎情報!$O$41)</f>
        <v>#N/A</v>
      </c>
      <c r="H40" s="316"/>
      <c r="I40" s="317"/>
      <c r="J40" s="315" t="e">
        <f>IF($F40=1,J36*$Q$4/2,IF($F40&gt;=3,J36*$Q$4,0))</f>
        <v>#N/A</v>
      </c>
      <c r="K40" s="318"/>
      <c r="L40" s="319"/>
      <c r="M40" s="317"/>
      <c r="N40" s="315" t="e">
        <f>IF($F40=1,N36*$Q$4/2,IF($F40&gt;=3,N36*$Q$4,0))</f>
        <v>#N/A</v>
      </c>
      <c r="O40" s="318"/>
      <c r="P40" s="319"/>
      <c r="Q40" s="317"/>
      <c r="R40" s="315" t="e">
        <f>IF($F40&lt;=2,0,IF($F40&gt;=3,R36*$Q$4,0))</f>
        <v>#N/A</v>
      </c>
      <c r="S40" s="318"/>
      <c r="T40" s="319"/>
      <c r="U40" s="320" t="e">
        <f t="shared" si="22"/>
        <v>#N/A</v>
      </c>
      <c r="V40" s="318"/>
      <c r="W40" s="318"/>
      <c r="X40" s="315" t="e">
        <f>IF($F40=3,X36*$Q$4,0)</f>
        <v>#N/A</v>
      </c>
      <c r="Y40" s="319"/>
      <c r="Z40" s="575"/>
      <c r="AA40" s="578"/>
    </row>
    <row r="41" spans="1:27" ht="16.95" customHeight="1">
      <c r="B41" s="580">
        <f>IF(ISNA(B39),0,DATEDIF(B37,B39,"M")+1)</f>
        <v>0</v>
      </c>
      <c r="C41" s="331"/>
      <c r="D41" s="259" t="s">
        <v>21</v>
      </c>
      <c r="E41" s="322" t="e">
        <f>HLOOKUP(A34,算出基礎情報!$C$14:$N$31,11,FALSE)</f>
        <v>#N/A</v>
      </c>
      <c r="F41" s="323" t="e">
        <f>HLOOKUP(A34,算出基礎情報!$C$14:$N$31,17,FALSE)</f>
        <v>#N/A</v>
      </c>
      <c r="G41" s="324" t="e">
        <f>IF(F41=0,0,算出基礎情報!$O$42)</f>
        <v>#N/A</v>
      </c>
      <c r="H41" s="304"/>
      <c r="I41" s="305"/>
      <c r="J41" s="326" t="e">
        <f>IF($F41=1,J36*$Q$4/2,IF($F41&gt;=3,J36*$Q$4,0))</f>
        <v>#N/A</v>
      </c>
      <c r="K41" s="307"/>
      <c r="L41" s="308"/>
      <c r="M41" s="305"/>
      <c r="N41" s="326" t="e">
        <f>IF($F41=1,N36*$Q$4/2,IF($F41&gt;=3,N36*$Q$4,0))</f>
        <v>#N/A</v>
      </c>
      <c r="O41" s="307"/>
      <c r="P41" s="308"/>
      <c r="Q41" s="305"/>
      <c r="R41" s="326" t="e">
        <f>IF($F41&lt;=2,0,IF($F41&gt;=3,R36*$Q$4,0))</f>
        <v>#N/A</v>
      </c>
      <c r="S41" s="307"/>
      <c r="T41" s="308"/>
      <c r="U41" s="328" t="e">
        <f t="shared" si="22"/>
        <v>#N/A</v>
      </c>
      <c r="V41" s="307"/>
      <c r="W41" s="307"/>
      <c r="X41" s="326" t="e">
        <f>IF($F41=3,X36*$Q$4,0)</f>
        <v>#N/A</v>
      </c>
      <c r="Y41" s="308"/>
      <c r="Z41" s="575"/>
      <c r="AA41" s="578"/>
    </row>
    <row r="42" spans="1:27" ht="16.95" customHeight="1" thickBot="1">
      <c r="B42" s="581"/>
      <c r="C42" s="331"/>
      <c r="D42" s="312" t="s">
        <v>22</v>
      </c>
      <c r="E42" s="313" t="e">
        <f>HLOOKUP(A34,算出基礎情報!$C$14:$N$31,12,FALSE)</f>
        <v>#N/A</v>
      </c>
      <c r="F42" s="314" t="e">
        <f>HLOOKUP(A34,算出基礎情報!$C$14:$N$31,18,FALSE)</f>
        <v>#N/A</v>
      </c>
      <c r="G42" s="315" t="e">
        <f>IF(F42=0,0,算出基礎情報!$O$43)</f>
        <v>#N/A</v>
      </c>
      <c r="H42" s="332"/>
      <c r="I42" s="333"/>
      <c r="J42" s="334" t="e">
        <f>IF($F42=1,J36*$Q$4/2,IF($F42&gt;=3,J36*$Q$4,0))</f>
        <v>#N/A</v>
      </c>
      <c r="K42" s="335"/>
      <c r="L42" s="336"/>
      <c r="M42" s="333"/>
      <c r="N42" s="334" t="e">
        <f>IF($F42=1,N36*$Q$4/2,IF($F42&gt;=3,N36*$Q$4,0))</f>
        <v>#N/A</v>
      </c>
      <c r="O42" s="335"/>
      <c r="P42" s="336"/>
      <c r="Q42" s="333"/>
      <c r="R42" s="334" t="e">
        <f>IF($F42&lt;=2,0,IF($F42&gt;=3,R36*$Q$4,0))</f>
        <v>#N/A</v>
      </c>
      <c r="S42" s="335"/>
      <c r="T42" s="336"/>
      <c r="U42" s="337" t="e">
        <f t="shared" si="22"/>
        <v>#N/A</v>
      </c>
      <c r="V42" s="335"/>
      <c r="W42" s="335"/>
      <c r="X42" s="334" t="e">
        <f>IF($F42=3,X36*$Q$4,0)</f>
        <v>#N/A</v>
      </c>
      <c r="Y42" s="336"/>
      <c r="Z42" s="576"/>
      <c r="AA42" s="579"/>
    </row>
    <row r="43" spans="1:27" ht="16.95" customHeight="1" thickTop="1">
      <c r="B43" s="356"/>
      <c r="C43" s="357"/>
      <c r="D43" s="571" t="str">
        <f>"（"&amp;A34&amp;") 月割税額"</f>
        <v>（3) 月割税額</v>
      </c>
      <c r="E43" s="572"/>
      <c r="F43" s="572"/>
      <c r="G43" s="572" t="str">
        <f>"（"&amp;$B41&amp;"/"&amp;12&amp;"か月）"</f>
        <v>（0/12か月）</v>
      </c>
      <c r="H43" s="573"/>
      <c r="I43" s="359">
        <f>IF($B41=0,0,SUM(I37:I42)*$B41/$P$6)</f>
        <v>0</v>
      </c>
      <c r="J43" s="359">
        <f t="shared" ref="J43" si="23">IF($B41=0,0,SUM(J37:J42)*$B41/$P$6)</f>
        <v>0</v>
      </c>
      <c r="K43" s="359">
        <f t="shared" ref="K43" si="24">IF($B41=0,0,SUM(K37:K42)*$B41/$P$6)</f>
        <v>0</v>
      </c>
      <c r="L43" s="359">
        <f t="shared" ref="L43" si="25">IF($B41=0,0,SUM(L37:L42)*$B41/$P$6)</f>
        <v>0</v>
      </c>
      <c r="M43" s="359">
        <f t="shared" ref="M43" si="26">IF($B41=0,0,SUM(M37:M42)*$B41/$P$6)</f>
        <v>0</v>
      </c>
      <c r="N43" s="359">
        <f t="shared" ref="N43" si="27">IF($B41=0,0,SUM(N37:N42)*$B41/$P$6)</f>
        <v>0</v>
      </c>
      <c r="O43" s="359">
        <f t="shared" ref="O43" si="28">IF($B41=0,0,SUM(O37:O42)*$B41/$P$6)</f>
        <v>0</v>
      </c>
      <c r="P43" s="359">
        <f t="shared" ref="P43" si="29">IF($B41=0,0,SUM(P37:P42)*$B41/$P$6)</f>
        <v>0</v>
      </c>
      <c r="Q43" s="359">
        <f t="shared" ref="Q43" si="30">IF($B41=0,0,SUM(Q37:Q42)*$B41/$P$6)</f>
        <v>0</v>
      </c>
      <c r="R43" s="359">
        <f t="shared" ref="R43" si="31">IF($B41=0,0,SUM(R37:R42)*$B41/$P$6)</f>
        <v>0</v>
      </c>
      <c r="S43" s="359">
        <f t="shared" ref="S43" si="32">IF($B41=0,0,SUM(S37:S42)*$B41/$P$6)</f>
        <v>0</v>
      </c>
      <c r="T43" s="359">
        <f t="shared" ref="T43" si="33">IF($B41=0,0,SUM(T37:T42)*$B41/$P$6)</f>
        <v>0</v>
      </c>
      <c r="U43" s="359">
        <f t="shared" ref="U43" si="34">IF($B41=0,0,SUM(U37:U42)*$B41/$P$6)</f>
        <v>0</v>
      </c>
      <c r="V43" s="359">
        <f t="shared" ref="V43" si="35">IF($B41=0,0,SUM(V37:V42)*$B41/$P$6)</f>
        <v>0</v>
      </c>
      <c r="W43" s="359">
        <f t="shared" ref="W43" si="36">IF($B41=0,0,SUM(W37:W42)*$B41/$P$6)</f>
        <v>0</v>
      </c>
      <c r="X43" s="359">
        <f t="shared" ref="X43" si="37">IF($B41=0,0,SUM(X37:X42)*$B41/$P$6)</f>
        <v>0</v>
      </c>
      <c r="Y43" s="359">
        <f t="shared" ref="Y43" si="38">IF($B41=0,0,SUM(Y37:Y42)*$B41/$P$6)</f>
        <v>0</v>
      </c>
      <c r="Z43" s="359">
        <f>L43+P43+T43+Y43</f>
        <v>0</v>
      </c>
      <c r="AA43" s="360"/>
    </row>
    <row r="44" spans="1:27" ht="18.45" customHeight="1" thickBot="1"/>
    <row r="45" spans="1:27" ht="16.95" customHeight="1" thickTop="1">
      <c r="A45" s="594">
        <v>4</v>
      </c>
      <c r="B45" s="596" t="s">
        <v>231</v>
      </c>
      <c r="C45" s="271"/>
      <c r="D45" s="599" t="s">
        <v>232</v>
      </c>
      <c r="E45" s="602" t="s">
        <v>233</v>
      </c>
      <c r="F45" s="605" t="s">
        <v>234</v>
      </c>
      <c r="G45" s="608" t="s">
        <v>235</v>
      </c>
      <c r="H45" s="609"/>
      <c r="I45" s="272" t="s">
        <v>24</v>
      </c>
      <c r="J45" s="273"/>
      <c r="K45" s="612">
        <f>$P$4</f>
        <v>7</v>
      </c>
      <c r="L45" s="613"/>
      <c r="M45" s="274" t="s">
        <v>25</v>
      </c>
      <c r="N45" s="275"/>
      <c r="O45" s="614">
        <f>$P$4</f>
        <v>7</v>
      </c>
      <c r="P45" s="615"/>
      <c r="Q45" s="276" t="s">
        <v>236</v>
      </c>
      <c r="R45" s="277"/>
      <c r="S45" s="616">
        <f>$P$4</f>
        <v>7</v>
      </c>
      <c r="T45" s="617"/>
      <c r="U45" s="278" t="s">
        <v>237</v>
      </c>
      <c r="V45" s="279"/>
      <c r="W45" s="279"/>
      <c r="X45" s="618">
        <f>$P$4</f>
        <v>7</v>
      </c>
      <c r="Y45" s="619"/>
      <c r="Z45" s="610" t="s">
        <v>238</v>
      </c>
      <c r="AA45" s="611"/>
    </row>
    <row r="46" spans="1:27" ht="16.95" customHeight="1">
      <c r="A46" s="595"/>
      <c r="B46" s="597"/>
      <c r="C46" s="271"/>
      <c r="D46" s="600"/>
      <c r="E46" s="603"/>
      <c r="F46" s="606"/>
      <c r="G46" s="582" t="s">
        <v>239</v>
      </c>
      <c r="H46" s="583"/>
      <c r="I46" s="280" t="s">
        <v>40</v>
      </c>
      <c r="J46" s="281" t="s">
        <v>46</v>
      </c>
      <c r="K46" s="281" t="s">
        <v>228</v>
      </c>
      <c r="L46" s="584" t="s">
        <v>229</v>
      </c>
      <c r="M46" s="282" t="s">
        <v>40</v>
      </c>
      <c r="N46" s="283" t="s">
        <v>46</v>
      </c>
      <c r="O46" s="283" t="s">
        <v>228</v>
      </c>
      <c r="P46" s="586" t="s">
        <v>229</v>
      </c>
      <c r="Q46" s="284" t="s">
        <v>40</v>
      </c>
      <c r="R46" s="285" t="s">
        <v>46</v>
      </c>
      <c r="S46" s="285" t="s">
        <v>228</v>
      </c>
      <c r="T46" s="588" t="s">
        <v>229</v>
      </c>
      <c r="U46" s="590" t="s">
        <v>235</v>
      </c>
      <c r="V46" s="591"/>
      <c r="W46" s="286" t="s">
        <v>40</v>
      </c>
      <c r="X46" s="286" t="s">
        <v>46</v>
      </c>
      <c r="Y46" s="592" t="s">
        <v>229</v>
      </c>
      <c r="Z46" s="346" t="s">
        <v>249</v>
      </c>
      <c r="AA46" s="349" t="s">
        <v>248</v>
      </c>
    </row>
    <row r="47" spans="1:27" ht="16.95" customHeight="1" thickBot="1">
      <c r="B47" s="598"/>
      <c r="C47" s="271"/>
      <c r="D47" s="601"/>
      <c r="E47" s="604"/>
      <c r="F47" s="607"/>
      <c r="G47" s="348" t="s">
        <v>240</v>
      </c>
      <c r="H47" s="288" t="s">
        <v>43</v>
      </c>
      <c r="I47" s="289">
        <f>算出基礎情報!$J$5</f>
        <v>7.6799999999999993E-2</v>
      </c>
      <c r="J47" s="290">
        <f>算出基礎情報!$K$5</f>
        <v>30000</v>
      </c>
      <c r="K47" s="290">
        <f>算出基礎情報!$M$5</f>
        <v>29000</v>
      </c>
      <c r="L47" s="585"/>
      <c r="M47" s="291">
        <f>算出基礎情報!$J$6</f>
        <v>2.8299999999999999E-2</v>
      </c>
      <c r="N47" s="292">
        <f>算出基礎情報!$K$6</f>
        <v>11000</v>
      </c>
      <c r="O47" s="292">
        <f>算出基礎情報!$M$6</f>
        <v>11000</v>
      </c>
      <c r="P47" s="587"/>
      <c r="Q47" s="293">
        <f>算出基礎情報!$J$8</f>
        <v>2.7000000000000001E-3</v>
      </c>
      <c r="R47" s="294">
        <f>算出基礎情報!$K$8+算出基礎情報!$L$8</f>
        <v>1000</v>
      </c>
      <c r="S47" s="294">
        <f>算出基礎情報!$M$8</f>
        <v>1000</v>
      </c>
      <c r="T47" s="589"/>
      <c r="U47" s="295" t="s">
        <v>240</v>
      </c>
      <c r="V47" s="296" t="s">
        <v>43</v>
      </c>
      <c r="W47" s="297">
        <f>算出基礎情報!$J$7</f>
        <v>2.3099999999999999E-2</v>
      </c>
      <c r="X47" s="298">
        <f>算出基礎情報!$K$7</f>
        <v>18000</v>
      </c>
      <c r="Y47" s="593"/>
      <c r="Z47" s="350" t="s">
        <v>250</v>
      </c>
      <c r="AA47" s="358" t="s">
        <v>272</v>
      </c>
    </row>
    <row r="48" spans="1:27" ht="16.95" customHeight="1" thickTop="1">
      <c r="B48" s="299" t="e">
        <f>HLOOKUP(A45,算出基礎情報!$C$14:$N$31,2,FALSE)</f>
        <v>#N/A</v>
      </c>
      <c r="C48" s="271"/>
      <c r="D48" s="300" t="s">
        <v>10</v>
      </c>
      <c r="E48" s="301" t="e">
        <f>HLOOKUP(A45,算出基礎情報!$C$14:$N$31,7,FALSE)</f>
        <v>#N/A</v>
      </c>
      <c r="F48" s="302" t="e">
        <f>HLOOKUP(A45,算出基礎情報!$C$14:$N$31,13,FALSE)</f>
        <v>#N/A</v>
      </c>
      <c r="G48" s="303" t="e">
        <f>IF(F48=0,0,算出基礎情報!$O$38)</f>
        <v>#N/A</v>
      </c>
      <c r="H48" s="304"/>
      <c r="I48" s="305"/>
      <c r="J48" s="306" t="e">
        <f>IF($F48=1,J47*$Q$4/2,IF($F48&gt;=3,J47*$Q$4,0))</f>
        <v>#N/A</v>
      </c>
      <c r="K48" s="307"/>
      <c r="L48" s="308"/>
      <c r="M48" s="305"/>
      <c r="N48" s="306" t="e">
        <f>IF($F48=1,N47*$Q$4/2,IF($F48&gt;=3,N47*$Q$4,0))</f>
        <v>#N/A</v>
      </c>
      <c r="O48" s="307"/>
      <c r="P48" s="308"/>
      <c r="Q48" s="305"/>
      <c r="R48" s="306" t="e">
        <f>IF($F48&lt;=2,0,IF($F48&gt;=3,R47*$Q$4,0))</f>
        <v>#N/A</v>
      </c>
      <c r="S48" s="307"/>
      <c r="T48" s="308"/>
      <c r="U48" s="309" t="e">
        <f>IF(F48=3,G48,"")</f>
        <v>#N/A</v>
      </c>
      <c r="V48" s="307"/>
      <c r="W48" s="307"/>
      <c r="X48" s="306" t="e">
        <f>IF($F48=3,X47*$Q$4,0)</f>
        <v>#N/A</v>
      </c>
      <c r="Y48" s="308"/>
      <c r="Z48" s="574" t="e">
        <f>ROUNDDOWN(L50,-2)+ROUNDDOWN(P50,-2)+ROUNDDOWN(T50,-2)+ROUNDDOWN(Y50,-2)</f>
        <v>#N/A</v>
      </c>
      <c r="AA48" s="577" t="e">
        <f>ROUNDDOWN(Z48/12,0)</f>
        <v>#N/A</v>
      </c>
    </row>
    <row r="49" spans="1:27" ht="16.95" customHeight="1">
      <c r="B49" s="310" t="s">
        <v>203</v>
      </c>
      <c r="C49" s="311"/>
      <c r="D49" s="312" t="s">
        <v>17</v>
      </c>
      <c r="E49" s="313" t="e">
        <f>HLOOKUP(A45,算出基礎情報!$C$14:$N$31,8,FALSE)</f>
        <v>#N/A</v>
      </c>
      <c r="F49" s="314" t="e">
        <f>HLOOKUP(A45,算出基礎情報!$C$14:$N$31,14,FALSE)</f>
        <v>#N/A</v>
      </c>
      <c r="G49" s="315" t="e">
        <f>IF(F49=0,0,算出基礎情報!$O$39)</f>
        <v>#N/A</v>
      </c>
      <c r="H49" s="316"/>
      <c r="I49" s="317"/>
      <c r="J49" s="315" t="e">
        <f>IF($F49=1,J47*$Q$4/2,IF($F49&gt;=3,J47*$Q$4,0))</f>
        <v>#N/A</v>
      </c>
      <c r="K49" s="318"/>
      <c r="L49" s="319"/>
      <c r="M49" s="317"/>
      <c r="N49" s="315" t="e">
        <f>IF($F49=1,N47*$Q$4/2,IF($F49&gt;=3,N47*$Q$4,0))</f>
        <v>#N/A</v>
      </c>
      <c r="O49" s="318"/>
      <c r="P49" s="319"/>
      <c r="Q49" s="317"/>
      <c r="R49" s="315" t="e">
        <f>IF($F49&lt;=2,0,IF($F49&gt;=3,R47*$Q$4,0))</f>
        <v>#N/A</v>
      </c>
      <c r="S49" s="318"/>
      <c r="T49" s="319"/>
      <c r="U49" s="320" t="e">
        <f t="shared" ref="U49:U53" si="39">IF(F49=3,G49,"")</f>
        <v>#N/A</v>
      </c>
      <c r="V49" s="318"/>
      <c r="W49" s="318"/>
      <c r="X49" s="315" t="e">
        <f>IF($F49=3,X47*$Q$4,0)</f>
        <v>#N/A</v>
      </c>
      <c r="Y49" s="319"/>
      <c r="Z49" s="575"/>
      <c r="AA49" s="578"/>
    </row>
    <row r="50" spans="1:27" ht="16.95" customHeight="1">
      <c r="B50" s="321" t="e">
        <f>IF(COUNTIF(算出基礎情報!$C$19:$N$19,"&gt;=1")&gt;A45,EDATE(HLOOKUP(A45+1,算出基礎情報!$C$14:$N$32,2,FALSE),-1),HLOOKUP(A45,算出基礎情報!$C$14:$N$32,19,FALSE))</f>
        <v>#N/A</v>
      </c>
      <c r="C50" s="271"/>
      <c r="D50" s="259" t="s">
        <v>19</v>
      </c>
      <c r="E50" s="322" t="e">
        <f>HLOOKUP(A45,算出基礎情報!$C$14:$N$31,9,FALSE)</f>
        <v>#N/A</v>
      </c>
      <c r="F50" s="323" t="e">
        <f>HLOOKUP(A45,算出基礎情報!$C$14:$N$31,15,FALSE)</f>
        <v>#N/A</v>
      </c>
      <c r="G50" s="324" t="e">
        <f>IF(F50=0,0,算出基礎情報!$O$40)</f>
        <v>#N/A</v>
      </c>
      <c r="H50" s="325" t="e">
        <f>SUM(G48:G53)</f>
        <v>#N/A</v>
      </c>
      <c r="I50" s="305" t="e">
        <f>IF(SUM($G48:$G53)&gt;=1,$H50*I47,0)</f>
        <v>#N/A</v>
      </c>
      <c r="J50" s="326" t="e">
        <f>IF($F50=1,J47*$Q$4/2,IF($F50&gt;=3,J47*$Q$4,0))</f>
        <v>#N/A</v>
      </c>
      <c r="K50" s="307" t="e">
        <f>IF(SUM($F48:$F53)=0,0,K47*$Q$4)</f>
        <v>#N/A</v>
      </c>
      <c r="L50" s="327" t="e">
        <f>IF($F$10&lt;=SUM(I48:K53),$F$10,SUM(I48:K53))</f>
        <v>#N/A</v>
      </c>
      <c r="M50" s="305" t="e">
        <f>IF(SUM($G48:$G53)&gt;=1,$H50*M47,0)</f>
        <v>#N/A</v>
      </c>
      <c r="N50" s="326" t="e">
        <f>IF($F50=1,N47*$Q$4/2,IF($F50&gt;=3,N47*$Q$4,0))</f>
        <v>#N/A</v>
      </c>
      <c r="O50" s="307" t="e">
        <f>IF(SUM($F48:$F53)=0,0,O47*$Q$4)</f>
        <v>#N/A</v>
      </c>
      <c r="P50" s="327" t="e">
        <f>IF($H$10&lt;=SUM(M48:O53),$H$10,SUM(M48:O53))</f>
        <v>#N/A</v>
      </c>
      <c r="Q50" s="305" t="e">
        <f>IF(SUM($G48:$G53)&gt;=1,$H50*Q47,0)</f>
        <v>#N/A</v>
      </c>
      <c r="R50" s="326" t="e">
        <f>IF($F50&lt;=2,0,IF($F50&gt;=3,R47*$Q$4,0))</f>
        <v>#N/A</v>
      </c>
      <c r="S50" s="307" t="e">
        <f>IF(SUM($F48:$F53)=0,0,S47*$Q$4)</f>
        <v>#N/A</v>
      </c>
      <c r="T50" s="327" t="e">
        <f>IF($J$10&lt;=SUM(Q48:S53),$J$10,SUM(Q48:S53))</f>
        <v>#N/A</v>
      </c>
      <c r="U50" s="328" t="e">
        <f t="shared" si="39"/>
        <v>#N/A</v>
      </c>
      <c r="V50" s="329" t="e">
        <f>SUM(U48:U53)</f>
        <v>#N/A</v>
      </c>
      <c r="W50" s="307" t="e">
        <f>V50*W47</f>
        <v>#N/A</v>
      </c>
      <c r="X50" s="326" t="e">
        <f>IF($F50=3,X47*$Q$4,0)</f>
        <v>#N/A</v>
      </c>
      <c r="Y50" s="327" t="e">
        <f>IF($L$10&lt;=SUM(W48:X53),$L$10,SUM(W48:X53))</f>
        <v>#N/A</v>
      </c>
      <c r="Z50" s="575"/>
      <c r="AA50" s="578"/>
    </row>
    <row r="51" spans="1:27" ht="16.95" customHeight="1">
      <c r="B51" s="330" t="s">
        <v>241</v>
      </c>
      <c r="C51" s="331"/>
      <c r="D51" s="312" t="s">
        <v>20</v>
      </c>
      <c r="E51" s="313" t="e">
        <f>HLOOKUP(A45,算出基礎情報!$C$14:$N$31,10,FALSE)</f>
        <v>#N/A</v>
      </c>
      <c r="F51" s="314" t="e">
        <f>HLOOKUP(A45,算出基礎情報!$C$14:$N$31,16,FALSE)</f>
        <v>#N/A</v>
      </c>
      <c r="G51" s="315" t="e">
        <f>IF(F51=0,0,算出基礎情報!$O$41)</f>
        <v>#N/A</v>
      </c>
      <c r="H51" s="316"/>
      <c r="I51" s="317"/>
      <c r="J51" s="315" t="e">
        <f>IF($F51=1,J47*$Q$4/2,IF($F51&gt;=3,J47*$Q$4,0))</f>
        <v>#N/A</v>
      </c>
      <c r="K51" s="318"/>
      <c r="L51" s="319"/>
      <c r="M51" s="317"/>
      <c r="N51" s="315" t="e">
        <f>IF($F51=1,N47*$Q$4/2,IF($F51&gt;=3,N47*$Q$4,0))</f>
        <v>#N/A</v>
      </c>
      <c r="O51" s="318"/>
      <c r="P51" s="319"/>
      <c r="Q51" s="317"/>
      <c r="R51" s="315" t="e">
        <f>IF($F51&lt;=2,0,IF($F51&gt;=3,R47*$Q$4,0))</f>
        <v>#N/A</v>
      </c>
      <c r="S51" s="318"/>
      <c r="T51" s="319"/>
      <c r="U51" s="320" t="e">
        <f t="shared" si="39"/>
        <v>#N/A</v>
      </c>
      <c r="V51" s="318"/>
      <c r="W51" s="318"/>
      <c r="X51" s="315" t="e">
        <f>IF($F51=3,X47*$Q$4,0)</f>
        <v>#N/A</v>
      </c>
      <c r="Y51" s="319"/>
      <c r="Z51" s="575"/>
      <c r="AA51" s="578"/>
    </row>
    <row r="52" spans="1:27" ht="16.95" customHeight="1">
      <c r="B52" s="580">
        <f>IF(ISNA(B50),0,DATEDIF(B48,B50,"M")+1)</f>
        <v>0</v>
      </c>
      <c r="C52" s="331"/>
      <c r="D52" s="259" t="s">
        <v>21</v>
      </c>
      <c r="E52" s="322" t="e">
        <f>HLOOKUP(A45,算出基礎情報!$C$14:$N$31,11,FALSE)</f>
        <v>#N/A</v>
      </c>
      <c r="F52" s="323" t="e">
        <f>HLOOKUP(A45,算出基礎情報!$C$14:$N$31,17,FALSE)</f>
        <v>#N/A</v>
      </c>
      <c r="G52" s="324" t="e">
        <f>IF(F52=0,0,算出基礎情報!$O$42)</f>
        <v>#N/A</v>
      </c>
      <c r="H52" s="304"/>
      <c r="I52" s="305"/>
      <c r="J52" s="326" t="e">
        <f>IF($F52=1,J47*$Q$4/2,IF($F52&gt;=3,J47*$Q$4,0))</f>
        <v>#N/A</v>
      </c>
      <c r="K52" s="307"/>
      <c r="L52" s="308"/>
      <c r="M52" s="305"/>
      <c r="N52" s="326" t="e">
        <f>IF($F52=1,N47*$Q$4/2,IF($F52&gt;=3,N47*$Q$4,0))</f>
        <v>#N/A</v>
      </c>
      <c r="O52" s="307"/>
      <c r="P52" s="308"/>
      <c r="Q52" s="305"/>
      <c r="R52" s="326" t="e">
        <f>IF($F52&lt;=2,0,IF($F52&gt;=3,R47*$Q$4,0))</f>
        <v>#N/A</v>
      </c>
      <c r="S52" s="307"/>
      <c r="T52" s="308"/>
      <c r="U52" s="328" t="e">
        <f t="shared" si="39"/>
        <v>#N/A</v>
      </c>
      <c r="V52" s="307"/>
      <c r="W52" s="307"/>
      <c r="X52" s="326" t="e">
        <f>IF($F52=3,X47*$Q$4,0)</f>
        <v>#N/A</v>
      </c>
      <c r="Y52" s="308"/>
      <c r="Z52" s="575"/>
      <c r="AA52" s="578"/>
    </row>
    <row r="53" spans="1:27" ht="16.95" customHeight="1" thickBot="1">
      <c r="B53" s="581"/>
      <c r="C53" s="331"/>
      <c r="D53" s="312" t="s">
        <v>22</v>
      </c>
      <c r="E53" s="313" t="e">
        <f>HLOOKUP(A45,算出基礎情報!$C$14:$N$31,12,FALSE)</f>
        <v>#N/A</v>
      </c>
      <c r="F53" s="314" t="e">
        <f>HLOOKUP(A45,算出基礎情報!$C$14:$N$31,18,FALSE)</f>
        <v>#N/A</v>
      </c>
      <c r="G53" s="315" t="e">
        <f>IF(F53=0,0,算出基礎情報!$O$43)</f>
        <v>#N/A</v>
      </c>
      <c r="H53" s="332"/>
      <c r="I53" s="333"/>
      <c r="J53" s="334" t="e">
        <f>IF($F53=1,J47*$Q$4/2,IF($F53&gt;=3,J47*$Q$4,0))</f>
        <v>#N/A</v>
      </c>
      <c r="K53" s="335"/>
      <c r="L53" s="336"/>
      <c r="M53" s="333"/>
      <c r="N53" s="334" t="e">
        <f>IF($F53=1,N47*$Q$4/2,IF($F53&gt;=3,N47*$Q$4,0))</f>
        <v>#N/A</v>
      </c>
      <c r="O53" s="335"/>
      <c r="P53" s="336"/>
      <c r="Q53" s="333"/>
      <c r="R53" s="334" t="e">
        <f>IF($F53&lt;=2,0,IF($F53&gt;=3,R47*$Q$4,0))</f>
        <v>#N/A</v>
      </c>
      <c r="S53" s="335"/>
      <c r="T53" s="336"/>
      <c r="U53" s="337" t="e">
        <f t="shared" si="39"/>
        <v>#N/A</v>
      </c>
      <c r="V53" s="335"/>
      <c r="W53" s="335"/>
      <c r="X53" s="334" t="e">
        <f>IF($F53=3,X47*$Q$4,0)</f>
        <v>#N/A</v>
      </c>
      <c r="Y53" s="336"/>
      <c r="Z53" s="576"/>
      <c r="AA53" s="579"/>
    </row>
    <row r="54" spans="1:27" ht="16.95" customHeight="1" thickTop="1">
      <c r="B54" s="356"/>
      <c r="C54" s="357"/>
      <c r="D54" s="571" t="str">
        <f>"（"&amp;A45&amp;") 月割税額"</f>
        <v>（4) 月割税額</v>
      </c>
      <c r="E54" s="572"/>
      <c r="F54" s="572"/>
      <c r="G54" s="572" t="str">
        <f>"（"&amp;$B52&amp;"/"&amp;12&amp;"か月）"</f>
        <v>（0/12か月）</v>
      </c>
      <c r="H54" s="573"/>
      <c r="I54" s="359">
        <f>IF($B52=0,0,SUM(I48:I53)*$B52/$P$6)</f>
        <v>0</v>
      </c>
      <c r="J54" s="359">
        <f t="shared" ref="J54" si="40">IF($B52=0,0,SUM(J48:J53)*$B52/$P$6)</f>
        <v>0</v>
      </c>
      <c r="K54" s="359">
        <f t="shared" ref="K54" si="41">IF($B52=0,0,SUM(K48:K53)*$B52/$P$6)</f>
        <v>0</v>
      </c>
      <c r="L54" s="359">
        <f t="shared" ref="L54" si="42">IF($B52=0,0,SUM(L48:L53)*$B52/$P$6)</f>
        <v>0</v>
      </c>
      <c r="M54" s="359">
        <f t="shared" ref="M54" si="43">IF($B52=0,0,SUM(M48:M53)*$B52/$P$6)</f>
        <v>0</v>
      </c>
      <c r="N54" s="359">
        <f t="shared" ref="N54" si="44">IF($B52=0,0,SUM(N48:N53)*$B52/$P$6)</f>
        <v>0</v>
      </c>
      <c r="O54" s="359">
        <f t="shared" ref="O54" si="45">IF($B52=0,0,SUM(O48:O53)*$B52/$P$6)</f>
        <v>0</v>
      </c>
      <c r="P54" s="359">
        <f t="shared" ref="P54" si="46">IF($B52=0,0,SUM(P48:P53)*$B52/$P$6)</f>
        <v>0</v>
      </c>
      <c r="Q54" s="359">
        <f t="shared" ref="Q54" si="47">IF($B52=0,0,SUM(Q48:Q53)*$B52/$P$6)</f>
        <v>0</v>
      </c>
      <c r="R54" s="359">
        <f t="shared" ref="R54" si="48">IF($B52=0,0,SUM(R48:R53)*$B52/$P$6)</f>
        <v>0</v>
      </c>
      <c r="S54" s="359">
        <f t="shared" ref="S54" si="49">IF($B52=0,0,SUM(S48:S53)*$B52/$P$6)</f>
        <v>0</v>
      </c>
      <c r="T54" s="359">
        <f t="shared" ref="T54" si="50">IF($B52=0,0,SUM(T48:T53)*$B52/$P$6)</f>
        <v>0</v>
      </c>
      <c r="U54" s="359">
        <f t="shared" ref="U54" si="51">IF($B52=0,0,SUM(U48:U53)*$B52/$P$6)</f>
        <v>0</v>
      </c>
      <c r="V54" s="359">
        <f t="shared" ref="V54" si="52">IF($B52=0,0,SUM(V48:V53)*$B52/$P$6)</f>
        <v>0</v>
      </c>
      <c r="W54" s="359">
        <f t="shared" ref="W54" si="53">IF($B52=0,0,SUM(W48:W53)*$B52/$P$6)</f>
        <v>0</v>
      </c>
      <c r="X54" s="359">
        <f t="shared" ref="X54" si="54">IF($B52=0,0,SUM(X48:X53)*$B52/$P$6)</f>
        <v>0</v>
      </c>
      <c r="Y54" s="359">
        <f t="shared" ref="Y54" si="55">IF($B52=0,0,SUM(Y48:Y53)*$B52/$P$6)</f>
        <v>0</v>
      </c>
      <c r="Z54" s="359">
        <f>L54+P54+T54+Y54</f>
        <v>0</v>
      </c>
      <c r="AA54" s="360"/>
    </row>
    <row r="55" spans="1:27" ht="19.2" customHeight="1" thickBot="1"/>
    <row r="56" spans="1:27" ht="16.95" customHeight="1" thickTop="1">
      <c r="A56" s="594">
        <v>5</v>
      </c>
      <c r="B56" s="596" t="s">
        <v>231</v>
      </c>
      <c r="C56" s="271"/>
      <c r="D56" s="599" t="s">
        <v>232</v>
      </c>
      <c r="E56" s="602" t="s">
        <v>233</v>
      </c>
      <c r="F56" s="605" t="s">
        <v>234</v>
      </c>
      <c r="G56" s="608" t="s">
        <v>235</v>
      </c>
      <c r="H56" s="609"/>
      <c r="I56" s="272" t="s">
        <v>24</v>
      </c>
      <c r="J56" s="273"/>
      <c r="K56" s="612">
        <f>$P$4</f>
        <v>7</v>
      </c>
      <c r="L56" s="613"/>
      <c r="M56" s="274" t="s">
        <v>25</v>
      </c>
      <c r="N56" s="275"/>
      <c r="O56" s="614">
        <f>$P$4</f>
        <v>7</v>
      </c>
      <c r="P56" s="615"/>
      <c r="Q56" s="276" t="s">
        <v>236</v>
      </c>
      <c r="R56" s="277"/>
      <c r="S56" s="616">
        <f>$P$4</f>
        <v>7</v>
      </c>
      <c r="T56" s="617"/>
      <c r="U56" s="278" t="s">
        <v>237</v>
      </c>
      <c r="V56" s="279"/>
      <c r="W56" s="279"/>
      <c r="X56" s="618">
        <f>$P$4</f>
        <v>7</v>
      </c>
      <c r="Y56" s="619"/>
      <c r="Z56" s="610" t="s">
        <v>238</v>
      </c>
      <c r="AA56" s="611"/>
    </row>
    <row r="57" spans="1:27" ht="16.95" customHeight="1">
      <c r="A57" s="595"/>
      <c r="B57" s="597"/>
      <c r="C57" s="271"/>
      <c r="D57" s="600"/>
      <c r="E57" s="603"/>
      <c r="F57" s="606"/>
      <c r="G57" s="582" t="s">
        <v>239</v>
      </c>
      <c r="H57" s="583"/>
      <c r="I57" s="280" t="s">
        <v>40</v>
      </c>
      <c r="J57" s="281" t="s">
        <v>46</v>
      </c>
      <c r="K57" s="281" t="s">
        <v>228</v>
      </c>
      <c r="L57" s="584" t="s">
        <v>229</v>
      </c>
      <c r="M57" s="282" t="s">
        <v>40</v>
      </c>
      <c r="N57" s="283" t="s">
        <v>46</v>
      </c>
      <c r="O57" s="283" t="s">
        <v>228</v>
      </c>
      <c r="P57" s="586" t="s">
        <v>229</v>
      </c>
      <c r="Q57" s="284" t="s">
        <v>40</v>
      </c>
      <c r="R57" s="285" t="s">
        <v>46</v>
      </c>
      <c r="S57" s="285" t="s">
        <v>228</v>
      </c>
      <c r="T57" s="588" t="s">
        <v>229</v>
      </c>
      <c r="U57" s="590" t="s">
        <v>235</v>
      </c>
      <c r="V57" s="591"/>
      <c r="W57" s="286" t="s">
        <v>40</v>
      </c>
      <c r="X57" s="286" t="s">
        <v>46</v>
      </c>
      <c r="Y57" s="592" t="s">
        <v>229</v>
      </c>
      <c r="Z57" s="346" t="s">
        <v>249</v>
      </c>
      <c r="AA57" s="349" t="s">
        <v>248</v>
      </c>
    </row>
    <row r="58" spans="1:27" ht="16.95" customHeight="1" thickBot="1">
      <c r="B58" s="598"/>
      <c r="C58" s="271"/>
      <c r="D58" s="601"/>
      <c r="E58" s="604"/>
      <c r="F58" s="607"/>
      <c r="G58" s="348" t="s">
        <v>240</v>
      </c>
      <c r="H58" s="288" t="s">
        <v>43</v>
      </c>
      <c r="I58" s="289">
        <f>算出基礎情報!$J$5</f>
        <v>7.6799999999999993E-2</v>
      </c>
      <c r="J58" s="290">
        <f>算出基礎情報!$K$5</f>
        <v>30000</v>
      </c>
      <c r="K58" s="290">
        <f>算出基礎情報!$M$5</f>
        <v>29000</v>
      </c>
      <c r="L58" s="585"/>
      <c r="M58" s="291">
        <f>算出基礎情報!$J$6</f>
        <v>2.8299999999999999E-2</v>
      </c>
      <c r="N58" s="292">
        <f>算出基礎情報!$K$6</f>
        <v>11000</v>
      </c>
      <c r="O58" s="292">
        <f>算出基礎情報!$M$6</f>
        <v>11000</v>
      </c>
      <c r="P58" s="587"/>
      <c r="Q58" s="293">
        <f>算出基礎情報!$J$8</f>
        <v>2.7000000000000001E-3</v>
      </c>
      <c r="R58" s="294">
        <f>算出基礎情報!$K$8+算出基礎情報!$L$8</f>
        <v>1000</v>
      </c>
      <c r="S58" s="294">
        <f>算出基礎情報!$M$8</f>
        <v>1000</v>
      </c>
      <c r="T58" s="589"/>
      <c r="U58" s="295" t="s">
        <v>240</v>
      </c>
      <c r="V58" s="296" t="s">
        <v>43</v>
      </c>
      <c r="W58" s="297">
        <f>算出基礎情報!$J$7</f>
        <v>2.3099999999999999E-2</v>
      </c>
      <c r="X58" s="298">
        <f>算出基礎情報!$K$7</f>
        <v>18000</v>
      </c>
      <c r="Y58" s="593"/>
      <c r="Z58" s="350" t="s">
        <v>250</v>
      </c>
      <c r="AA58" s="358" t="s">
        <v>272</v>
      </c>
    </row>
    <row r="59" spans="1:27" ht="16.95" customHeight="1" thickTop="1">
      <c r="B59" s="299" t="e">
        <f>HLOOKUP(A56,算出基礎情報!$C$14:$N$31,2,FALSE)</f>
        <v>#N/A</v>
      </c>
      <c r="C59" s="271"/>
      <c r="D59" s="300" t="s">
        <v>10</v>
      </c>
      <c r="E59" s="301" t="e">
        <f>HLOOKUP(A56,算出基礎情報!$C$14:$N$31,7,FALSE)</f>
        <v>#N/A</v>
      </c>
      <c r="F59" s="302" t="e">
        <f>HLOOKUP(A56,算出基礎情報!$C$14:$N$31,13,FALSE)</f>
        <v>#N/A</v>
      </c>
      <c r="G59" s="303" t="e">
        <f>IF(F59=0,0,算出基礎情報!$O$38)</f>
        <v>#N/A</v>
      </c>
      <c r="H59" s="304"/>
      <c r="I59" s="305"/>
      <c r="J59" s="306" t="e">
        <f>IF($F59=1,J58*$Q$4/2,IF($F59&gt;=3,J58*$Q$4,0))</f>
        <v>#N/A</v>
      </c>
      <c r="K59" s="307"/>
      <c r="L59" s="308"/>
      <c r="M59" s="305"/>
      <c r="N59" s="306" t="e">
        <f>IF($F59=1,N58*$Q$4/2,IF($F59&gt;=3,N58*$Q$4,0))</f>
        <v>#N/A</v>
      </c>
      <c r="O59" s="307"/>
      <c r="P59" s="308"/>
      <c r="Q59" s="305"/>
      <c r="R59" s="306" t="e">
        <f>IF($F59&lt;=2,0,IF($F59&gt;=3,R58*$Q$4,0))</f>
        <v>#N/A</v>
      </c>
      <c r="S59" s="307"/>
      <c r="T59" s="308"/>
      <c r="U59" s="309" t="e">
        <f>IF(F59=3,G59,"")</f>
        <v>#N/A</v>
      </c>
      <c r="V59" s="307"/>
      <c r="W59" s="307"/>
      <c r="X59" s="306" t="e">
        <f>IF($F59=3,X58*$Q$4,0)</f>
        <v>#N/A</v>
      </c>
      <c r="Y59" s="308"/>
      <c r="Z59" s="574" t="e">
        <f>ROUNDDOWN(L61,-2)+ROUNDDOWN(P61,-2)+ROUNDDOWN(T61,-2)+ROUNDDOWN(Y61,-2)</f>
        <v>#N/A</v>
      </c>
      <c r="AA59" s="577" t="e">
        <f>ROUNDDOWN(Z59/12,0)</f>
        <v>#N/A</v>
      </c>
    </row>
    <row r="60" spans="1:27" ht="16.95" customHeight="1">
      <c r="B60" s="310" t="s">
        <v>203</v>
      </c>
      <c r="C60" s="311"/>
      <c r="D60" s="312" t="s">
        <v>17</v>
      </c>
      <c r="E60" s="313" t="e">
        <f>HLOOKUP(A56,算出基礎情報!$C$14:$N$31,8,FALSE)</f>
        <v>#N/A</v>
      </c>
      <c r="F60" s="314" t="e">
        <f>HLOOKUP(A56,算出基礎情報!$C$14:$N$31,14,FALSE)</f>
        <v>#N/A</v>
      </c>
      <c r="G60" s="315" t="e">
        <f>IF(F60=0,0,算出基礎情報!$O$39)</f>
        <v>#N/A</v>
      </c>
      <c r="H60" s="316"/>
      <c r="I60" s="317"/>
      <c r="J60" s="315" t="e">
        <f>IF($F60=1,J58*$Q$4/2,IF($F60&gt;=3,J58*$Q$4,0))</f>
        <v>#N/A</v>
      </c>
      <c r="K60" s="318"/>
      <c r="L60" s="319"/>
      <c r="M60" s="317"/>
      <c r="N60" s="315" t="e">
        <f>IF($F60=1,N58*$Q$4/2,IF($F60&gt;=3,N58*$Q$4,0))</f>
        <v>#N/A</v>
      </c>
      <c r="O60" s="318"/>
      <c r="P60" s="319"/>
      <c r="Q60" s="317"/>
      <c r="R60" s="315" t="e">
        <f>IF($F60&lt;=2,0,IF($F60&gt;=3,R58*$Q$4,0))</f>
        <v>#N/A</v>
      </c>
      <c r="S60" s="318"/>
      <c r="T60" s="319"/>
      <c r="U60" s="320" t="e">
        <f t="shared" ref="U60:U64" si="56">IF(F60=3,G60,"")</f>
        <v>#N/A</v>
      </c>
      <c r="V60" s="318"/>
      <c r="W60" s="318"/>
      <c r="X60" s="315" t="e">
        <f>IF($F60=3,X58*$Q$4,0)</f>
        <v>#N/A</v>
      </c>
      <c r="Y60" s="319"/>
      <c r="Z60" s="575"/>
      <c r="AA60" s="578"/>
    </row>
    <row r="61" spans="1:27" ht="16.95" customHeight="1">
      <c r="B61" s="321" t="e">
        <f>IF(COUNTIF(算出基礎情報!$C$19:$N$19,"&gt;=1")&gt;A56,EDATE(HLOOKUP(A56+1,算出基礎情報!$C$14:$N$32,2,FALSE),-1),HLOOKUP(A56,算出基礎情報!$C$14:$N$32,19,FALSE))</f>
        <v>#N/A</v>
      </c>
      <c r="C61" s="271"/>
      <c r="D61" s="259" t="s">
        <v>19</v>
      </c>
      <c r="E61" s="322" t="e">
        <f>HLOOKUP(A56,算出基礎情報!$C$14:$N$31,9,FALSE)</f>
        <v>#N/A</v>
      </c>
      <c r="F61" s="323" t="e">
        <f>HLOOKUP(A56,算出基礎情報!$C$14:$N$31,15,FALSE)</f>
        <v>#N/A</v>
      </c>
      <c r="G61" s="324" t="e">
        <f>IF(F61=0,0,算出基礎情報!$O$40)</f>
        <v>#N/A</v>
      </c>
      <c r="H61" s="325" t="e">
        <f>SUM(G59:G64)</f>
        <v>#N/A</v>
      </c>
      <c r="I61" s="305" t="e">
        <f>IF(SUM($G59:$G64)&gt;=1,$H61*I58,0)</f>
        <v>#N/A</v>
      </c>
      <c r="J61" s="326" t="e">
        <f>IF($F61=1,J58*$Q$4/2,IF($F61&gt;=3,J58*$Q$4,0))</f>
        <v>#N/A</v>
      </c>
      <c r="K61" s="307" t="e">
        <f>IF(SUM($F59:$F64)=0,0,K58*$Q$4)</f>
        <v>#N/A</v>
      </c>
      <c r="L61" s="327" t="e">
        <f>IF($F$10&lt;=SUM(I59:K64),$F$10,SUM(I59:K64))</f>
        <v>#N/A</v>
      </c>
      <c r="M61" s="305" t="e">
        <f>IF(SUM($G59:$G64)&gt;=1,$H61*M58,0)</f>
        <v>#N/A</v>
      </c>
      <c r="N61" s="326" t="e">
        <f>IF($F61=1,N58*$Q$4/2,IF($F61&gt;=3,N58*$Q$4,0))</f>
        <v>#N/A</v>
      </c>
      <c r="O61" s="307" t="e">
        <f>IF(SUM($F59:$F64)=0,0,O58*$Q$4)</f>
        <v>#N/A</v>
      </c>
      <c r="P61" s="327" t="e">
        <f>IF($H$10&lt;=SUM(M59:O64),$H$10,SUM(M59:O64))</f>
        <v>#N/A</v>
      </c>
      <c r="Q61" s="305" t="e">
        <f>IF(SUM($G59:$G64)&gt;=1,$H61*Q58,0)</f>
        <v>#N/A</v>
      </c>
      <c r="R61" s="326" t="e">
        <f>IF($F61&lt;=2,0,IF($F61&gt;=3,R58*$Q$4,0))</f>
        <v>#N/A</v>
      </c>
      <c r="S61" s="307" t="e">
        <f>IF(SUM($F59:$F64)=0,0,S58*$Q$4)</f>
        <v>#N/A</v>
      </c>
      <c r="T61" s="327" t="e">
        <f>IF($J$10&lt;=SUM(Q59:S64),$J$10,SUM(Q59:S64))</f>
        <v>#N/A</v>
      </c>
      <c r="U61" s="328" t="e">
        <f t="shared" si="56"/>
        <v>#N/A</v>
      </c>
      <c r="V61" s="329" t="e">
        <f>SUM(U59:U64)</f>
        <v>#N/A</v>
      </c>
      <c r="W61" s="307" t="e">
        <f>V61*W58</f>
        <v>#N/A</v>
      </c>
      <c r="X61" s="326" t="e">
        <f>IF($F61=3,X58*$Q$4,0)</f>
        <v>#N/A</v>
      </c>
      <c r="Y61" s="327" t="e">
        <f>IF($L$10&lt;=SUM(W59:X64),$L$10,SUM(W59:X64))</f>
        <v>#N/A</v>
      </c>
      <c r="Z61" s="575"/>
      <c r="AA61" s="578"/>
    </row>
    <row r="62" spans="1:27" ht="16.95" customHeight="1">
      <c r="B62" s="330" t="s">
        <v>241</v>
      </c>
      <c r="C62" s="331"/>
      <c r="D62" s="312" t="s">
        <v>20</v>
      </c>
      <c r="E62" s="313" t="e">
        <f>HLOOKUP(A56,算出基礎情報!$C$14:$N$31,10,FALSE)</f>
        <v>#N/A</v>
      </c>
      <c r="F62" s="314" t="e">
        <f>HLOOKUP(A56,算出基礎情報!$C$14:$N$31,16,FALSE)</f>
        <v>#N/A</v>
      </c>
      <c r="G62" s="315" t="e">
        <f>IF(F62=0,0,算出基礎情報!$O$41)</f>
        <v>#N/A</v>
      </c>
      <c r="H62" s="316"/>
      <c r="I62" s="317"/>
      <c r="J62" s="315" t="e">
        <f>IF($F62=1,J58*$Q$4/2,IF($F62&gt;=3,J58*$Q$4,0))</f>
        <v>#N/A</v>
      </c>
      <c r="K62" s="318"/>
      <c r="L62" s="319"/>
      <c r="M62" s="317"/>
      <c r="N62" s="315" t="e">
        <f>IF($F62=1,N58*$Q$4/2,IF($F62&gt;=3,N58*$Q$4,0))</f>
        <v>#N/A</v>
      </c>
      <c r="O62" s="318"/>
      <c r="P62" s="319"/>
      <c r="Q62" s="317"/>
      <c r="R62" s="315" t="e">
        <f>IF($F62&lt;=2,0,IF($F62&gt;=3,R58*$Q$4,0))</f>
        <v>#N/A</v>
      </c>
      <c r="S62" s="318"/>
      <c r="T62" s="319"/>
      <c r="U62" s="320" t="e">
        <f t="shared" si="56"/>
        <v>#N/A</v>
      </c>
      <c r="V62" s="318"/>
      <c r="W62" s="318"/>
      <c r="X62" s="315" t="e">
        <f>IF($F62=3,X58*$Q$4,0)</f>
        <v>#N/A</v>
      </c>
      <c r="Y62" s="319"/>
      <c r="Z62" s="575"/>
      <c r="AA62" s="578"/>
    </row>
    <row r="63" spans="1:27" ht="16.95" customHeight="1">
      <c r="B63" s="580">
        <f>IF(ISNA(B61),0,DATEDIF(B59,B61,"M")+1)</f>
        <v>0</v>
      </c>
      <c r="C63" s="331"/>
      <c r="D63" s="259" t="s">
        <v>21</v>
      </c>
      <c r="E63" s="322" t="e">
        <f>HLOOKUP(A56,算出基礎情報!$C$14:$N$31,11,FALSE)</f>
        <v>#N/A</v>
      </c>
      <c r="F63" s="323" t="e">
        <f>HLOOKUP(A56,算出基礎情報!$C$14:$N$31,17,FALSE)</f>
        <v>#N/A</v>
      </c>
      <c r="G63" s="324" t="e">
        <f>IF(F63=0,0,算出基礎情報!$O$42)</f>
        <v>#N/A</v>
      </c>
      <c r="H63" s="304"/>
      <c r="I63" s="305"/>
      <c r="J63" s="326" t="e">
        <f>IF($F63=1,J58*$Q$4/2,IF($F63&gt;=3,J58*$Q$4,0))</f>
        <v>#N/A</v>
      </c>
      <c r="K63" s="307"/>
      <c r="L63" s="308"/>
      <c r="M63" s="305"/>
      <c r="N63" s="326" t="e">
        <f>IF($F63=1,N58*$Q$4/2,IF($F63&gt;=3,N58*$Q$4,0))</f>
        <v>#N/A</v>
      </c>
      <c r="O63" s="307"/>
      <c r="P63" s="308"/>
      <c r="Q63" s="305"/>
      <c r="R63" s="326" t="e">
        <f>IF($F63&lt;=2,0,IF($F63&gt;=3,R58*$Q$4,0))</f>
        <v>#N/A</v>
      </c>
      <c r="S63" s="307"/>
      <c r="T63" s="308"/>
      <c r="U63" s="328" t="e">
        <f t="shared" si="56"/>
        <v>#N/A</v>
      </c>
      <c r="V63" s="307"/>
      <c r="W63" s="307"/>
      <c r="X63" s="326" t="e">
        <f>IF($F63=3,X58*$Q$4,0)</f>
        <v>#N/A</v>
      </c>
      <c r="Y63" s="308"/>
      <c r="Z63" s="575"/>
      <c r="AA63" s="578"/>
    </row>
    <row r="64" spans="1:27" ht="16.95" customHeight="1" thickBot="1">
      <c r="B64" s="581"/>
      <c r="C64" s="331"/>
      <c r="D64" s="312" t="s">
        <v>22</v>
      </c>
      <c r="E64" s="313" t="e">
        <f>HLOOKUP(A56,算出基礎情報!$C$14:$N$31,12,FALSE)</f>
        <v>#N/A</v>
      </c>
      <c r="F64" s="314" t="e">
        <f>HLOOKUP(A56,算出基礎情報!$C$14:$N$31,18,FALSE)</f>
        <v>#N/A</v>
      </c>
      <c r="G64" s="315" t="e">
        <f>IF(F64=0,0,算出基礎情報!$O$43)</f>
        <v>#N/A</v>
      </c>
      <c r="H64" s="332"/>
      <c r="I64" s="333"/>
      <c r="J64" s="334" t="e">
        <f>IF($F64=1,J58*$Q$4/2,IF($F64&gt;=3,J58*$Q$4,0))</f>
        <v>#N/A</v>
      </c>
      <c r="K64" s="335"/>
      <c r="L64" s="336"/>
      <c r="M64" s="333"/>
      <c r="N64" s="334" t="e">
        <f>IF($F64=1,N58*$Q$4/2,IF($F64&gt;=3,N58*$Q$4,0))</f>
        <v>#N/A</v>
      </c>
      <c r="O64" s="335"/>
      <c r="P64" s="336"/>
      <c r="Q64" s="333"/>
      <c r="R64" s="334" t="e">
        <f>IF($F64&lt;=2,0,IF($F64&gt;=3,R58*$Q$4,0))</f>
        <v>#N/A</v>
      </c>
      <c r="S64" s="335"/>
      <c r="T64" s="336"/>
      <c r="U64" s="337" t="e">
        <f t="shared" si="56"/>
        <v>#N/A</v>
      </c>
      <c r="V64" s="335"/>
      <c r="W64" s="335"/>
      <c r="X64" s="334" t="e">
        <f>IF($F64=3,X58*$Q$4,0)</f>
        <v>#N/A</v>
      </c>
      <c r="Y64" s="336"/>
      <c r="Z64" s="576"/>
      <c r="AA64" s="579"/>
    </row>
    <row r="65" spans="1:27" ht="16.95" customHeight="1" thickTop="1">
      <c r="B65" s="356"/>
      <c r="C65" s="357"/>
      <c r="D65" s="571" t="str">
        <f>"（"&amp;A56&amp;") 月割税額"</f>
        <v>（5) 月割税額</v>
      </c>
      <c r="E65" s="572"/>
      <c r="F65" s="572"/>
      <c r="G65" s="572" t="str">
        <f>"（"&amp;$B63&amp;"/"&amp;12&amp;"か月）"</f>
        <v>（0/12か月）</v>
      </c>
      <c r="H65" s="573"/>
      <c r="I65" s="359">
        <f>IF($B63=0,0,SUM(I59:I64)*$B63/$P$6)</f>
        <v>0</v>
      </c>
      <c r="J65" s="359">
        <f t="shared" ref="J65" si="57">IF($B63=0,0,SUM(J59:J64)*$B63/$P$6)</f>
        <v>0</v>
      </c>
      <c r="K65" s="359">
        <f t="shared" ref="K65" si="58">IF($B63=0,0,SUM(K59:K64)*$B63/$P$6)</f>
        <v>0</v>
      </c>
      <c r="L65" s="359">
        <f t="shared" ref="L65" si="59">IF($B63=0,0,SUM(L59:L64)*$B63/$P$6)</f>
        <v>0</v>
      </c>
      <c r="M65" s="359">
        <f t="shared" ref="M65" si="60">IF($B63=0,0,SUM(M59:M64)*$B63/$P$6)</f>
        <v>0</v>
      </c>
      <c r="N65" s="359">
        <f t="shared" ref="N65" si="61">IF($B63=0,0,SUM(N59:N64)*$B63/$P$6)</f>
        <v>0</v>
      </c>
      <c r="O65" s="359">
        <f t="shared" ref="O65" si="62">IF($B63=0,0,SUM(O59:O64)*$B63/$P$6)</f>
        <v>0</v>
      </c>
      <c r="P65" s="359">
        <f t="shared" ref="P65" si="63">IF($B63=0,0,SUM(P59:P64)*$B63/$P$6)</f>
        <v>0</v>
      </c>
      <c r="Q65" s="359">
        <f t="shared" ref="Q65" si="64">IF($B63=0,0,SUM(Q59:Q64)*$B63/$P$6)</f>
        <v>0</v>
      </c>
      <c r="R65" s="359">
        <f t="shared" ref="R65" si="65">IF($B63=0,0,SUM(R59:R64)*$B63/$P$6)</f>
        <v>0</v>
      </c>
      <c r="S65" s="359">
        <f t="shared" ref="S65" si="66">IF($B63=0,0,SUM(S59:S64)*$B63/$P$6)</f>
        <v>0</v>
      </c>
      <c r="T65" s="359">
        <f t="shared" ref="T65" si="67">IF($B63=0,0,SUM(T59:T64)*$B63/$P$6)</f>
        <v>0</v>
      </c>
      <c r="U65" s="359">
        <f t="shared" ref="U65" si="68">IF($B63=0,0,SUM(U59:U64)*$B63/$P$6)</f>
        <v>0</v>
      </c>
      <c r="V65" s="359">
        <f t="shared" ref="V65" si="69">IF($B63=0,0,SUM(V59:V64)*$B63/$P$6)</f>
        <v>0</v>
      </c>
      <c r="W65" s="359">
        <f t="shared" ref="W65" si="70">IF($B63=0,0,SUM(W59:W64)*$B63/$P$6)</f>
        <v>0</v>
      </c>
      <c r="X65" s="359">
        <f t="shared" ref="X65" si="71">IF($B63=0,0,SUM(X59:X64)*$B63/$P$6)</f>
        <v>0</v>
      </c>
      <c r="Y65" s="359">
        <f t="shared" ref="Y65" si="72">IF($B63=0,0,SUM(Y59:Y64)*$B63/$P$6)</f>
        <v>0</v>
      </c>
      <c r="Z65" s="359">
        <f>L65+P65+T65+Y65</f>
        <v>0</v>
      </c>
      <c r="AA65" s="360"/>
    </row>
    <row r="66" spans="1:27" ht="18.45" customHeight="1" thickBot="1"/>
    <row r="67" spans="1:27" ht="16.95" customHeight="1" thickTop="1">
      <c r="A67" s="594">
        <v>6</v>
      </c>
      <c r="B67" s="596" t="s">
        <v>231</v>
      </c>
      <c r="C67" s="271"/>
      <c r="D67" s="599" t="s">
        <v>232</v>
      </c>
      <c r="E67" s="602" t="s">
        <v>233</v>
      </c>
      <c r="F67" s="605" t="s">
        <v>234</v>
      </c>
      <c r="G67" s="608" t="s">
        <v>235</v>
      </c>
      <c r="H67" s="609"/>
      <c r="I67" s="272" t="s">
        <v>24</v>
      </c>
      <c r="J67" s="273"/>
      <c r="K67" s="612">
        <f>$P$4</f>
        <v>7</v>
      </c>
      <c r="L67" s="613"/>
      <c r="M67" s="274" t="s">
        <v>25</v>
      </c>
      <c r="N67" s="275"/>
      <c r="O67" s="614">
        <f>$P$4</f>
        <v>7</v>
      </c>
      <c r="P67" s="615"/>
      <c r="Q67" s="276" t="s">
        <v>236</v>
      </c>
      <c r="R67" s="277"/>
      <c r="S67" s="616">
        <f>$P$4</f>
        <v>7</v>
      </c>
      <c r="T67" s="617"/>
      <c r="U67" s="278" t="s">
        <v>237</v>
      </c>
      <c r="V67" s="279"/>
      <c r="W67" s="279"/>
      <c r="X67" s="618">
        <f>$P$4</f>
        <v>7</v>
      </c>
      <c r="Y67" s="619"/>
      <c r="Z67" s="610" t="s">
        <v>238</v>
      </c>
      <c r="AA67" s="611"/>
    </row>
    <row r="68" spans="1:27" ht="16.95" customHeight="1">
      <c r="A68" s="595"/>
      <c r="B68" s="597"/>
      <c r="C68" s="271"/>
      <c r="D68" s="600"/>
      <c r="E68" s="603"/>
      <c r="F68" s="606"/>
      <c r="G68" s="582" t="s">
        <v>239</v>
      </c>
      <c r="H68" s="583"/>
      <c r="I68" s="280" t="s">
        <v>40</v>
      </c>
      <c r="J68" s="281" t="s">
        <v>46</v>
      </c>
      <c r="K68" s="281" t="s">
        <v>228</v>
      </c>
      <c r="L68" s="584" t="s">
        <v>229</v>
      </c>
      <c r="M68" s="282" t="s">
        <v>40</v>
      </c>
      <c r="N68" s="283" t="s">
        <v>46</v>
      </c>
      <c r="O68" s="283" t="s">
        <v>228</v>
      </c>
      <c r="P68" s="586" t="s">
        <v>229</v>
      </c>
      <c r="Q68" s="284" t="s">
        <v>40</v>
      </c>
      <c r="R68" s="285" t="s">
        <v>46</v>
      </c>
      <c r="S68" s="285" t="s">
        <v>228</v>
      </c>
      <c r="T68" s="588" t="s">
        <v>229</v>
      </c>
      <c r="U68" s="590" t="s">
        <v>235</v>
      </c>
      <c r="V68" s="591"/>
      <c r="W68" s="286" t="s">
        <v>40</v>
      </c>
      <c r="X68" s="286" t="s">
        <v>46</v>
      </c>
      <c r="Y68" s="592" t="s">
        <v>229</v>
      </c>
      <c r="Z68" s="346" t="s">
        <v>249</v>
      </c>
      <c r="AA68" s="349" t="s">
        <v>248</v>
      </c>
    </row>
    <row r="69" spans="1:27" ht="16.95" customHeight="1" thickBot="1">
      <c r="B69" s="598"/>
      <c r="C69" s="271"/>
      <c r="D69" s="601"/>
      <c r="E69" s="604"/>
      <c r="F69" s="607"/>
      <c r="G69" s="348" t="s">
        <v>240</v>
      </c>
      <c r="H69" s="288" t="s">
        <v>43</v>
      </c>
      <c r="I69" s="289">
        <f>算出基礎情報!$J$5</f>
        <v>7.6799999999999993E-2</v>
      </c>
      <c r="J69" s="290">
        <f>算出基礎情報!$K$5</f>
        <v>30000</v>
      </c>
      <c r="K69" s="290">
        <f>算出基礎情報!$M$5</f>
        <v>29000</v>
      </c>
      <c r="L69" s="585"/>
      <c r="M69" s="291">
        <f>算出基礎情報!$J$6</f>
        <v>2.8299999999999999E-2</v>
      </c>
      <c r="N69" s="292">
        <f>算出基礎情報!$K$6</f>
        <v>11000</v>
      </c>
      <c r="O69" s="292">
        <f>算出基礎情報!$M$6</f>
        <v>11000</v>
      </c>
      <c r="P69" s="587"/>
      <c r="Q69" s="293">
        <f>算出基礎情報!$J$8</f>
        <v>2.7000000000000001E-3</v>
      </c>
      <c r="R69" s="294">
        <f>算出基礎情報!$K$8+算出基礎情報!$L$8</f>
        <v>1000</v>
      </c>
      <c r="S69" s="294">
        <f>算出基礎情報!$M$8</f>
        <v>1000</v>
      </c>
      <c r="T69" s="589"/>
      <c r="U69" s="295" t="s">
        <v>240</v>
      </c>
      <c r="V69" s="296" t="s">
        <v>43</v>
      </c>
      <c r="W69" s="297">
        <f>算出基礎情報!$J$7</f>
        <v>2.3099999999999999E-2</v>
      </c>
      <c r="X69" s="298">
        <f>算出基礎情報!$K$7</f>
        <v>18000</v>
      </c>
      <c r="Y69" s="593"/>
      <c r="Z69" s="350" t="s">
        <v>250</v>
      </c>
      <c r="AA69" s="358" t="s">
        <v>272</v>
      </c>
    </row>
    <row r="70" spans="1:27" ht="16.95" customHeight="1" thickTop="1">
      <c r="B70" s="299" t="e">
        <f>HLOOKUP(A67,算出基礎情報!$C$14:$N$31,2,FALSE)</f>
        <v>#N/A</v>
      </c>
      <c r="C70" s="271"/>
      <c r="D70" s="300" t="s">
        <v>10</v>
      </c>
      <c r="E70" s="301" t="e">
        <f>HLOOKUP(A67,算出基礎情報!$C$14:$N$31,7,FALSE)</f>
        <v>#N/A</v>
      </c>
      <c r="F70" s="302" t="e">
        <f>HLOOKUP(A67,算出基礎情報!$C$14:$N$31,13,FALSE)</f>
        <v>#N/A</v>
      </c>
      <c r="G70" s="303" t="e">
        <f>IF(F70=0,0,算出基礎情報!$O$38)</f>
        <v>#N/A</v>
      </c>
      <c r="H70" s="304"/>
      <c r="I70" s="305"/>
      <c r="J70" s="306" t="e">
        <f>IF($F70=1,J69*$Q$4/2,IF($F70&gt;=3,J69*$Q$4,0))</f>
        <v>#N/A</v>
      </c>
      <c r="K70" s="307"/>
      <c r="L70" s="308"/>
      <c r="M70" s="305"/>
      <c r="N70" s="306" t="e">
        <f>IF($F70=1,N69*$Q$4/2,IF($F70&gt;=3,N69*$Q$4,0))</f>
        <v>#N/A</v>
      </c>
      <c r="O70" s="307"/>
      <c r="P70" s="308"/>
      <c r="Q70" s="305"/>
      <c r="R70" s="306" t="e">
        <f>IF($F70&lt;=2,0,IF($F70&gt;=3,R69*$Q$4,0))</f>
        <v>#N/A</v>
      </c>
      <c r="S70" s="307"/>
      <c r="T70" s="308"/>
      <c r="U70" s="309" t="e">
        <f>IF(F70=3,G70,"")</f>
        <v>#N/A</v>
      </c>
      <c r="V70" s="307"/>
      <c r="W70" s="307"/>
      <c r="X70" s="306" t="e">
        <f>IF($F70=3,X69*$Q$4,0)</f>
        <v>#N/A</v>
      </c>
      <c r="Y70" s="308"/>
      <c r="Z70" s="574" t="e">
        <f>ROUNDDOWN(L72,-2)+ROUNDDOWN(P72,-2)+ROUNDDOWN(T72,-2)+ROUNDDOWN(Y72,-2)</f>
        <v>#N/A</v>
      </c>
      <c r="AA70" s="577" t="e">
        <f>ROUNDDOWN(Z70/12,0)</f>
        <v>#N/A</v>
      </c>
    </row>
    <row r="71" spans="1:27" ht="16.95" customHeight="1">
      <c r="B71" s="310" t="s">
        <v>203</v>
      </c>
      <c r="C71" s="311"/>
      <c r="D71" s="312" t="s">
        <v>17</v>
      </c>
      <c r="E71" s="313" t="e">
        <f>HLOOKUP(A67,算出基礎情報!$C$14:$N$31,8,FALSE)</f>
        <v>#N/A</v>
      </c>
      <c r="F71" s="314" t="e">
        <f>HLOOKUP(A67,算出基礎情報!$C$14:$N$31,14,FALSE)</f>
        <v>#N/A</v>
      </c>
      <c r="G71" s="315" t="e">
        <f>IF(F71=0,0,算出基礎情報!$O$39)</f>
        <v>#N/A</v>
      </c>
      <c r="H71" s="316"/>
      <c r="I71" s="317"/>
      <c r="J71" s="315" t="e">
        <f>IF($F71=1,J69*$Q$4/2,IF($F71&gt;=3,J69*$Q$4,0))</f>
        <v>#N/A</v>
      </c>
      <c r="K71" s="318"/>
      <c r="L71" s="319"/>
      <c r="M71" s="317"/>
      <c r="N71" s="315" t="e">
        <f>IF($F71=1,N69*$Q$4/2,IF($F71&gt;=3,N69*$Q$4,0))</f>
        <v>#N/A</v>
      </c>
      <c r="O71" s="318"/>
      <c r="P71" s="319"/>
      <c r="Q71" s="317"/>
      <c r="R71" s="315" t="e">
        <f>IF($F71&lt;=2,0,IF($F71&gt;=3,R69*$Q$4,0))</f>
        <v>#N/A</v>
      </c>
      <c r="S71" s="318"/>
      <c r="T71" s="319"/>
      <c r="U71" s="320" t="e">
        <f t="shared" ref="U71:U75" si="73">IF(F71=3,G71,"")</f>
        <v>#N/A</v>
      </c>
      <c r="V71" s="318"/>
      <c r="W71" s="318"/>
      <c r="X71" s="315" t="e">
        <f>IF($F71=3,X69*$Q$4,0)</f>
        <v>#N/A</v>
      </c>
      <c r="Y71" s="319"/>
      <c r="Z71" s="575"/>
      <c r="AA71" s="578"/>
    </row>
    <row r="72" spans="1:27" ht="16.95" customHeight="1">
      <c r="B72" s="321" t="e">
        <f>IF(COUNTIF(算出基礎情報!$C$19:$N$19,"&gt;=1")&gt;A67,EDATE(HLOOKUP(A67+1,算出基礎情報!$C$14:$N$32,2,FALSE),-1),HLOOKUP(A67,算出基礎情報!$C$14:$N$32,19,FALSE))</f>
        <v>#N/A</v>
      </c>
      <c r="C72" s="271"/>
      <c r="D72" s="259" t="s">
        <v>19</v>
      </c>
      <c r="E72" s="322" t="e">
        <f>HLOOKUP(A67,算出基礎情報!$C$14:$N$31,9,FALSE)</f>
        <v>#N/A</v>
      </c>
      <c r="F72" s="323" t="e">
        <f>HLOOKUP(A67,算出基礎情報!$C$14:$N$31,15,FALSE)</f>
        <v>#N/A</v>
      </c>
      <c r="G72" s="324" t="e">
        <f>IF(F72=0,0,算出基礎情報!$O$40)</f>
        <v>#N/A</v>
      </c>
      <c r="H72" s="325" t="e">
        <f>SUM(G70:G75)</f>
        <v>#N/A</v>
      </c>
      <c r="I72" s="305" t="e">
        <f>IF(SUM($G70:$G75)&gt;=1,$H72*I69,0)</f>
        <v>#N/A</v>
      </c>
      <c r="J72" s="326" t="e">
        <f>IF($F72=1,J69*$Q$4/2,IF($F72&gt;=3,J69*$Q$4,0))</f>
        <v>#N/A</v>
      </c>
      <c r="K72" s="307" t="e">
        <f>IF(SUM($F70:$F75)=0,0,K69*$Q$4)</f>
        <v>#N/A</v>
      </c>
      <c r="L72" s="327" t="e">
        <f>IF($F$10&lt;=SUM(I70:K75),$F$10,SUM(I70:K75))</f>
        <v>#N/A</v>
      </c>
      <c r="M72" s="305" t="e">
        <f>IF(SUM($G70:$G75)&gt;=1,$H72*M69,0)</f>
        <v>#N/A</v>
      </c>
      <c r="N72" s="326" t="e">
        <f>IF($F72=1,N69*$Q$4/2,IF($F72&gt;=3,N69*$Q$4,0))</f>
        <v>#N/A</v>
      </c>
      <c r="O72" s="307" t="e">
        <f>IF(SUM($F70:$F75)=0,0,O69*$Q$4)</f>
        <v>#N/A</v>
      </c>
      <c r="P72" s="327" t="e">
        <f>IF($H$10&lt;=SUM(M70:O75),$H$10,SUM(M70:O75))</f>
        <v>#N/A</v>
      </c>
      <c r="Q72" s="305" t="e">
        <f>IF(SUM($G70:$G75)&gt;=1,$H72*Q69,0)</f>
        <v>#N/A</v>
      </c>
      <c r="R72" s="326" t="e">
        <f>IF($F72&lt;=2,0,IF($F72&gt;=3,R69*$Q$4,0))</f>
        <v>#N/A</v>
      </c>
      <c r="S72" s="307" t="e">
        <f>IF(SUM($F70:$F75)=0,0,S69*$Q$4)</f>
        <v>#N/A</v>
      </c>
      <c r="T72" s="327" t="e">
        <f>IF($J$10&lt;=SUM(Q70:S75),$J$10,SUM(Q70:S75))</f>
        <v>#N/A</v>
      </c>
      <c r="U72" s="328" t="e">
        <f t="shared" si="73"/>
        <v>#N/A</v>
      </c>
      <c r="V72" s="329" t="e">
        <f>SUM(U70:U75)</f>
        <v>#N/A</v>
      </c>
      <c r="W72" s="307" t="e">
        <f>V72*W69</f>
        <v>#N/A</v>
      </c>
      <c r="X72" s="326" t="e">
        <f>IF($F72=3,X69*$Q$4,0)</f>
        <v>#N/A</v>
      </c>
      <c r="Y72" s="327" t="e">
        <f>IF($L$10&lt;=SUM(W70:X75),$L$10,SUM(W70:X75))</f>
        <v>#N/A</v>
      </c>
      <c r="Z72" s="575"/>
      <c r="AA72" s="578"/>
    </row>
    <row r="73" spans="1:27" ht="16.95" customHeight="1">
      <c r="B73" s="330" t="s">
        <v>241</v>
      </c>
      <c r="C73" s="331"/>
      <c r="D73" s="312" t="s">
        <v>20</v>
      </c>
      <c r="E73" s="313" t="e">
        <f>HLOOKUP(A67,算出基礎情報!$C$14:$N$31,10,FALSE)</f>
        <v>#N/A</v>
      </c>
      <c r="F73" s="314" t="e">
        <f>HLOOKUP(A67,算出基礎情報!$C$14:$N$31,16,FALSE)</f>
        <v>#N/A</v>
      </c>
      <c r="G73" s="315" t="e">
        <f>IF(F73=0,0,算出基礎情報!$O$41)</f>
        <v>#N/A</v>
      </c>
      <c r="H73" s="316"/>
      <c r="I73" s="317"/>
      <c r="J73" s="315" t="e">
        <f>IF($F73=1,J69*$Q$4/2,IF($F73&gt;=3,J69*$Q$4,0))</f>
        <v>#N/A</v>
      </c>
      <c r="K73" s="318"/>
      <c r="L73" s="319"/>
      <c r="M73" s="317"/>
      <c r="N73" s="315" t="e">
        <f>IF($F73=1,N69*$Q$4/2,IF($F73&gt;=3,N69*$Q$4,0))</f>
        <v>#N/A</v>
      </c>
      <c r="O73" s="318"/>
      <c r="P73" s="319"/>
      <c r="Q73" s="317"/>
      <c r="R73" s="315" t="e">
        <f>IF($F73&lt;=2,0,IF($F73&gt;=3,R69*$Q$4,0))</f>
        <v>#N/A</v>
      </c>
      <c r="S73" s="318"/>
      <c r="T73" s="319"/>
      <c r="U73" s="320" t="e">
        <f t="shared" si="73"/>
        <v>#N/A</v>
      </c>
      <c r="V73" s="318"/>
      <c r="W73" s="318"/>
      <c r="X73" s="315" t="e">
        <f>IF($F73=3,X69*$Q$4,0)</f>
        <v>#N/A</v>
      </c>
      <c r="Y73" s="319"/>
      <c r="Z73" s="575"/>
      <c r="AA73" s="578"/>
    </row>
    <row r="74" spans="1:27" ht="16.95" customHeight="1">
      <c r="B74" s="580">
        <f>IF(ISNA(B72),0,DATEDIF(B70,B72,"M")+1)</f>
        <v>0</v>
      </c>
      <c r="C74" s="331"/>
      <c r="D74" s="259" t="s">
        <v>21</v>
      </c>
      <c r="E74" s="322" t="e">
        <f>HLOOKUP(A67,算出基礎情報!$C$14:$N$31,11,FALSE)</f>
        <v>#N/A</v>
      </c>
      <c r="F74" s="323" t="e">
        <f>HLOOKUP(A67,算出基礎情報!$C$14:$N$31,17,FALSE)</f>
        <v>#N/A</v>
      </c>
      <c r="G74" s="324" t="e">
        <f>IF(F74=0,0,算出基礎情報!$O$42)</f>
        <v>#N/A</v>
      </c>
      <c r="H74" s="304"/>
      <c r="I74" s="305"/>
      <c r="J74" s="326" t="e">
        <f>IF($F74=1,J69*$Q$4/2,IF($F74&gt;=3,J69*$Q$4,0))</f>
        <v>#N/A</v>
      </c>
      <c r="K74" s="307"/>
      <c r="L74" s="308"/>
      <c r="M74" s="305"/>
      <c r="N74" s="326" t="e">
        <f>IF($F74=1,N69*$Q$4/2,IF($F74&gt;=3,N69*$Q$4,0))</f>
        <v>#N/A</v>
      </c>
      <c r="O74" s="307"/>
      <c r="P74" s="308"/>
      <c r="Q74" s="305"/>
      <c r="R74" s="326" t="e">
        <f>IF($F74&lt;=2,0,IF($F74&gt;=3,R69*$Q$4,0))</f>
        <v>#N/A</v>
      </c>
      <c r="S74" s="307"/>
      <c r="T74" s="308"/>
      <c r="U74" s="328" t="e">
        <f t="shared" si="73"/>
        <v>#N/A</v>
      </c>
      <c r="V74" s="307"/>
      <c r="W74" s="307"/>
      <c r="X74" s="326" t="e">
        <f>IF($F74=3,X69*$Q$4,0)</f>
        <v>#N/A</v>
      </c>
      <c r="Y74" s="308"/>
      <c r="Z74" s="575"/>
      <c r="AA74" s="578"/>
    </row>
    <row r="75" spans="1:27" ht="16.95" customHeight="1" thickBot="1">
      <c r="B75" s="581"/>
      <c r="C75" s="331"/>
      <c r="D75" s="312" t="s">
        <v>22</v>
      </c>
      <c r="E75" s="313" t="e">
        <f>HLOOKUP(A67,算出基礎情報!$C$14:$N$31,12,FALSE)</f>
        <v>#N/A</v>
      </c>
      <c r="F75" s="314" t="e">
        <f>HLOOKUP(A67,算出基礎情報!$C$14:$N$31,18,FALSE)</f>
        <v>#N/A</v>
      </c>
      <c r="G75" s="315" t="e">
        <f>IF(F75=0,0,算出基礎情報!$O$43)</f>
        <v>#N/A</v>
      </c>
      <c r="H75" s="332"/>
      <c r="I75" s="333"/>
      <c r="J75" s="334" t="e">
        <f>IF($F75=1,J69*$Q$4/2,IF($F75&gt;=3,J69*$Q$4,0))</f>
        <v>#N/A</v>
      </c>
      <c r="K75" s="335"/>
      <c r="L75" s="336"/>
      <c r="M75" s="333"/>
      <c r="N75" s="334" t="e">
        <f>IF($F75=1,N69*$Q$4/2,IF($F75&gt;=3,N69*$Q$4,0))</f>
        <v>#N/A</v>
      </c>
      <c r="O75" s="335"/>
      <c r="P75" s="336"/>
      <c r="Q75" s="333"/>
      <c r="R75" s="334" t="e">
        <f>IF($F75&lt;=2,0,IF($F75&gt;=3,R69*$Q$4,0))</f>
        <v>#N/A</v>
      </c>
      <c r="S75" s="335"/>
      <c r="T75" s="336"/>
      <c r="U75" s="337" t="e">
        <f t="shared" si="73"/>
        <v>#N/A</v>
      </c>
      <c r="V75" s="335"/>
      <c r="W75" s="335"/>
      <c r="X75" s="334" t="e">
        <f>IF($F75=3,X69*$Q$4,0)</f>
        <v>#N/A</v>
      </c>
      <c r="Y75" s="336"/>
      <c r="Z75" s="576"/>
      <c r="AA75" s="579"/>
    </row>
    <row r="76" spans="1:27" ht="16.95" customHeight="1" thickTop="1">
      <c r="B76" s="356"/>
      <c r="C76" s="357"/>
      <c r="D76" s="571" t="str">
        <f>"（"&amp;A67&amp;") 月割税額"</f>
        <v>（6) 月割税額</v>
      </c>
      <c r="E76" s="572"/>
      <c r="F76" s="572"/>
      <c r="G76" s="572" t="str">
        <f>"（"&amp;$B74&amp;"/"&amp;12&amp;"か月）"</f>
        <v>（0/12か月）</v>
      </c>
      <c r="H76" s="573"/>
      <c r="I76" s="359">
        <f>IF($B74=0,0,SUM(I70:I75)*$B74/$P$6)</f>
        <v>0</v>
      </c>
      <c r="J76" s="359">
        <f t="shared" ref="J76" si="74">IF($B74=0,0,SUM(J70:J75)*$B74/$P$6)</f>
        <v>0</v>
      </c>
      <c r="K76" s="359">
        <f t="shared" ref="K76" si="75">IF($B74=0,0,SUM(K70:K75)*$B74/$P$6)</f>
        <v>0</v>
      </c>
      <c r="L76" s="359">
        <f t="shared" ref="L76" si="76">IF($B74=0,0,SUM(L70:L75)*$B74/$P$6)</f>
        <v>0</v>
      </c>
      <c r="M76" s="359">
        <f t="shared" ref="M76" si="77">IF($B74=0,0,SUM(M70:M75)*$B74/$P$6)</f>
        <v>0</v>
      </c>
      <c r="N76" s="359">
        <f t="shared" ref="N76" si="78">IF($B74=0,0,SUM(N70:N75)*$B74/$P$6)</f>
        <v>0</v>
      </c>
      <c r="O76" s="359">
        <f t="shared" ref="O76" si="79">IF($B74=0,0,SUM(O70:O75)*$B74/$P$6)</f>
        <v>0</v>
      </c>
      <c r="P76" s="359">
        <f t="shared" ref="P76" si="80">IF($B74=0,0,SUM(P70:P75)*$B74/$P$6)</f>
        <v>0</v>
      </c>
      <c r="Q76" s="359">
        <f t="shared" ref="Q76" si="81">IF($B74=0,0,SUM(Q70:Q75)*$B74/$P$6)</f>
        <v>0</v>
      </c>
      <c r="R76" s="359">
        <f t="shared" ref="R76" si="82">IF($B74=0,0,SUM(R70:R75)*$B74/$P$6)</f>
        <v>0</v>
      </c>
      <c r="S76" s="359">
        <f t="shared" ref="S76" si="83">IF($B74=0,0,SUM(S70:S75)*$B74/$P$6)</f>
        <v>0</v>
      </c>
      <c r="T76" s="359">
        <f t="shared" ref="T76" si="84">IF($B74=0,0,SUM(T70:T75)*$B74/$P$6)</f>
        <v>0</v>
      </c>
      <c r="U76" s="359">
        <f t="shared" ref="U76" si="85">IF($B74=0,0,SUM(U70:U75)*$B74/$P$6)</f>
        <v>0</v>
      </c>
      <c r="V76" s="359">
        <f t="shared" ref="V76" si="86">IF($B74=0,0,SUM(V70:V75)*$B74/$P$6)</f>
        <v>0</v>
      </c>
      <c r="W76" s="359">
        <f t="shared" ref="W76" si="87">IF($B74=0,0,SUM(W70:W75)*$B74/$P$6)</f>
        <v>0</v>
      </c>
      <c r="X76" s="359">
        <f t="shared" ref="X76" si="88">IF($B74=0,0,SUM(X70:X75)*$B74/$P$6)</f>
        <v>0</v>
      </c>
      <c r="Y76" s="359">
        <f t="shared" ref="Y76" si="89">IF($B74=0,0,SUM(Y70:Y75)*$B74/$P$6)</f>
        <v>0</v>
      </c>
      <c r="Z76" s="359">
        <f>L76+P76+T76+Y76</f>
        <v>0</v>
      </c>
      <c r="AA76" s="360"/>
    </row>
  </sheetData>
  <sheetProtection algorithmName="SHA-512" hashValue="Ej5DQb8B7FkIePm4Hr936T34K+yuZWmGUyYeY1IFjy1rnXfUNtQ2zPKmhQAbC7EkJFwDzD+PoFe8p8V6mysLAg==" saltValue="HNrCaAFVZfTxLeAf8Dx/tg==" spinCount="100000" sheet="1" selectLockedCells="1" selectUnlockedCells="1"/>
  <mergeCells count="166">
    <mergeCell ref="X34:Y34"/>
    <mergeCell ref="K45:L45"/>
    <mergeCell ref="O45:P45"/>
    <mergeCell ref="S45:T45"/>
    <mergeCell ref="X45:Y45"/>
    <mergeCell ref="K56:L56"/>
    <mergeCell ref="O56:P56"/>
    <mergeCell ref="S56:T56"/>
    <mergeCell ref="X56:Y56"/>
    <mergeCell ref="J3:K3"/>
    <mergeCell ref="L3:M3"/>
    <mergeCell ref="J4:K4"/>
    <mergeCell ref="L4:M4"/>
    <mergeCell ref="D5:E5"/>
    <mergeCell ref="F5:G5"/>
    <mergeCell ref="H5:I5"/>
    <mergeCell ref="J5:K5"/>
    <mergeCell ref="L5:M5"/>
    <mergeCell ref="D6:E6"/>
    <mergeCell ref="F6:G6"/>
    <mergeCell ref="H6:I6"/>
    <mergeCell ref="J6:K6"/>
    <mergeCell ref="L6:M6"/>
    <mergeCell ref="D7:E7"/>
    <mergeCell ref="F7:G7"/>
    <mergeCell ref="H7:I7"/>
    <mergeCell ref="J7:K7"/>
    <mergeCell ref="L7:M7"/>
    <mergeCell ref="D8:E8"/>
    <mergeCell ref="F8:G8"/>
    <mergeCell ref="H8:I8"/>
    <mergeCell ref="J8:K8"/>
    <mergeCell ref="L8:M8"/>
    <mergeCell ref="D9:E9"/>
    <mergeCell ref="F9:G9"/>
    <mergeCell ref="H9:I9"/>
    <mergeCell ref="J9:K9"/>
    <mergeCell ref="L9:M9"/>
    <mergeCell ref="D10:E10"/>
    <mergeCell ref="F10:G10"/>
    <mergeCell ref="H10:I10"/>
    <mergeCell ref="J10:K10"/>
    <mergeCell ref="L10:M10"/>
    <mergeCell ref="A12:A13"/>
    <mergeCell ref="B12:B14"/>
    <mergeCell ref="D12:D14"/>
    <mergeCell ref="E12:E14"/>
    <mergeCell ref="F12:F14"/>
    <mergeCell ref="G12:H12"/>
    <mergeCell ref="K12:L12"/>
    <mergeCell ref="Z12:AA12"/>
    <mergeCell ref="G13:H13"/>
    <mergeCell ref="L13:L14"/>
    <mergeCell ref="P13:P14"/>
    <mergeCell ref="T13:T14"/>
    <mergeCell ref="U13:V13"/>
    <mergeCell ref="Y13:Y14"/>
    <mergeCell ref="Z15:Z20"/>
    <mergeCell ref="AA15:AA20"/>
    <mergeCell ref="O12:P12"/>
    <mergeCell ref="S12:T12"/>
    <mergeCell ref="X12:Y12"/>
    <mergeCell ref="B19:B20"/>
    <mergeCell ref="A23:A24"/>
    <mergeCell ref="B23:B25"/>
    <mergeCell ref="D23:D25"/>
    <mergeCell ref="E23:E25"/>
    <mergeCell ref="F23:F25"/>
    <mergeCell ref="G23:H23"/>
    <mergeCell ref="Z23:AA23"/>
    <mergeCell ref="B30:B31"/>
    <mergeCell ref="K23:L23"/>
    <mergeCell ref="O23:P23"/>
    <mergeCell ref="S23:T23"/>
    <mergeCell ref="X23:Y23"/>
    <mergeCell ref="G21:H21"/>
    <mergeCell ref="D21:F21"/>
    <mergeCell ref="A34:A35"/>
    <mergeCell ref="B34:B36"/>
    <mergeCell ref="D34:D36"/>
    <mergeCell ref="E34:E36"/>
    <mergeCell ref="F34:F36"/>
    <mergeCell ref="G34:H34"/>
    <mergeCell ref="G24:H24"/>
    <mergeCell ref="L24:L25"/>
    <mergeCell ref="Z34:AA34"/>
    <mergeCell ref="G35:H35"/>
    <mergeCell ref="L35:L36"/>
    <mergeCell ref="P35:P36"/>
    <mergeCell ref="T35:T36"/>
    <mergeCell ref="U35:V35"/>
    <mergeCell ref="Y35:Y36"/>
    <mergeCell ref="Z26:Z31"/>
    <mergeCell ref="AA26:AA31"/>
    <mergeCell ref="P24:P25"/>
    <mergeCell ref="T24:T25"/>
    <mergeCell ref="U24:V24"/>
    <mergeCell ref="Y24:Y25"/>
    <mergeCell ref="K34:L34"/>
    <mergeCell ref="O34:P34"/>
    <mergeCell ref="S34:T34"/>
    <mergeCell ref="Z37:Z42"/>
    <mergeCell ref="AA37:AA42"/>
    <mergeCell ref="B41:B42"/>
    <mergeCell ref="A45:A46"/>
    <mergeCell ref="B45:B47"/>
    <mergeCell ref="D45:D47"/>
    <mergeCell ref="E45:E47"/>
    <mergeCell ref="F45:F47"/>
    <mergeCell ref="G45:H45"/>
    <mergeCell ref="Z45:AA45"/>
    <mergeCell ref="P46:P47"/>
    <mergeCell ref="T46:T47"/>
    <mergeCell ref="U46:V46"/>
    <mergeCell ref="Y46:Y47"/>
    <mergeCell ref="B52:B53"/>
    <mergeCell ref="A56:A57"/>
    <mergeCell ref="B56:B58"/>
    <mergeCell ref="D56:D58"/>
    <mergeCell ref="E56:E58"/>
    <mergeCell ref="F56:F58"/>
    <mergeCell ref="G56:H56"/>
    <mergeCell ref="G46:H46"/>
    <mergeCell ref="L46:L47"/>
    <mergeCell ref="Z56:AA56"/>
    <mergeCell ref="G57:H57"/>
    <mergeCell ref="L57:L58"/>
    <mergeCell ref="P57:P58"/>
    <mergeCell ref="T57:T58"/>
    <mergeCell ref="U57:V57"/>
    <mergeCell ref="Y57:Y58"/>
    <mergeCell ref="Z48:Z53"/>
    <mergeCell ref="AA48:AA53"/>
    <mergeCell ref="Z59:Z64"/>
    <mergeCell ref="AA59:AA64"/>
    <mergeCell ref="B63:B64"/>
    <mergeCell ref="A67:A68"/>
    <mergeCell ref="B67:B69"/>
    <mergeCell ref="D67:D69"/>
    <mergeCell ref="E67:E69"/>
    <mergeCell ref="F67:F69"/>
    <mergeCell ref="G67:H67"/>
    <mergeCell ref="Z67:AA67"/>
    <mergeCell ref="K67:L67"/>
    <mergeCell ref="O67:P67"/>
    <mergeCell ref="S67:T67"/>
    <mergeCell ref="X67:Y67"/>
    <mergeCell ref="Z70:Z75"/>
    <mergeCell ref="AA70:AA75"/>
    <mergeCell ref="B74:B75"/>
    <mergeCell ref="G68:H68"/>
    <mergeCell ref="L68:L69"/>
    <mergeCell ref="P68:P69"/>
    <mergeCell ref="T68:T69"/>
    <mergeCell ref="U68:V68"/>
    <mergeCell ref="Y68:Y69"/>
    <mergeCell ref="D32:F32"/>
    <mergeCell ref="G32:H32"/>
    <mergeCell ref="D43:F43"/>
    <mergeCell ref="G43:H43"/>
    <mergeCell ref="D54:F54"/>
    <mergeCell ref="G54:H54"/>
    <mergeCell ref="D65:F65"/>
    <mergeCell ref="G65:H65"/>
    <mergeCell ref="D76:F76"/>
    <mergeCell ref="G76:H76"/>
  </mergeCells>
  <phoneticPr fontId="4"/>
  <conditionalFormatting sqref="B13:Z13 Y15:Z15 B15:L16 C17:L17 B18:L18 B12:J12 M12:N12 Q12:R12 U12:W12 Z12 B14:Y14 C19:L20 M15:X20 Y16:Y20 C21:D21 I21:Z21">
    <cfRule type="expression" dxfId="41" priority="226">
      <formula>ISNA($B$12:$Z$20)</formula>
    </cfRule>
  </conditionalFormatting>
  <conditionalFormatting sqref="B19:B21">
    <cfRule type="expression" dxfId="40" priority="164">
      <formula>ISNA($B$12:$Z$20)</formula>
    </cfRule>
  </conditionalFormatting>
  <conditionalFormatting sqref="D26:AA32">
    <cfRule type="expression" dxfId="39" priority="120">
      <formula>ISNA($E26)</formula>
    </cfRule>
  </conditionalFormatting>
  <conditionalFormatting sqref="B30:B32">
    <cfRule type="expression" dxfId="38" priority="119">
      <formula>ISNA($B$12:$Z$20)</formula>
    </cfRule>
  </conditionalFormatting>
  <conditionalFormatting sqref="L24:L25">
    <cfRule type="expression" dxfId="37" priority="110">
      <formula>ISNA($B$12:$Z$20)</formula>
    </cfRule>
  </conditionalFormatting>
  <conditionalFormatting sqref="P24:P25">
    <cfRule type="expression" dxfId="36" priority="109">
      <formula>ISNA($B$12:$Z$20)</formula>
    </cfRule>
  </conditionalFormatting>
  <conditionalFormatting sqref="T24:T25">
    <cfRule type="expression" dxfId="35" priority="108">
      <formula>ISNA($B$12:$Z$20)</formula>
    </cfRule>
  </conditionalFormatting>
  <conditionalFormatting sqref="Y24:Y25">
    <cfRule type="expression" dxfId="34" priority="107">
      <formula>ISNA($B$12:$Z$20)</formula>
    </cfRule>
  </conditionalFormatting>
  <conditionalFormatting sqref="D32">
    <cfRule type="expression" dxfId="33" priority="106">
      <formula>ISNA($B$12:$Z$20)</formula>
    </cfRule>
  </conditionalFormatting>
  <conditionalFormatting sqref="E26:F31">
    <cfRule type="expression" dxfId="32" priority="105">
      <formula>E15&lt;&gt;E26</formula>
    </cfRule>
  </conditionalFormatting>
  <conditionalFormatting sqref="D37:AA43">
    <cfRule type="expression" dxfId="31" priority="32">
      <formula>ISNA($E37)</formula>
    </cfRule>
  </conditionalFormatting>
  <conditionalFormatting sqref="B41:B43">
    <cfRule type="expression" dxfId="30" priority="31">
      <formula>ISNA($B$12:$Z$20)</formula>
    </cfRule>
  </conditionalFormatting>
  <conditionalFormatting sqref="L35:L36">
    <cfRule type="expression" dxfId="29" priority="30">
      <formula>ISNA($B$12:$Z$20)</formula>
    </cfRule>
  </conditionalFormatting>
  <conditionalFormatting sqref="P35:P36">
    <cfRule type="expression" dxfId="28" priority="29">
      <formula>ISNA($B$12:$Z$20)</formula>
    </cfRule>
  </conditionalFormatting>
  <conditionalFormatting sqref="T35:T36">
    <cfRule type="expression" dxfId="27" priority="28">
      <formula>ISNA($B$12:$Z$20)</formula>
    </cfRule>
  </conditionalFormatting>
  <conditionalFormatting sqref="Y35:Y36">
    <cfRule type="expression" dxfId="26" priority="27">
      <formula>ISNA($B$12:$Z$20)</formula>
    </cfRule>
  </conditionalFormatting>
  <conditionalFormatting sqref="D43">
    <cfRule type="expression" dxfId="25" priority="26">
      <formula>ISNA($B$12:$Z$20)</formula>
    </cfRule>
  </conditionalFormatting>
  <conditionalFormatting sqref="E37:F42">
    <cfRule type="expression" dxfId="24" priority="25">
      <formula>E26&lt;&gt;E37</formula>
    </cfRule>
  </conditionalFormatting>
  <conditionalFormatting sqref="D48:AA54">
    <cfRule type="expression" dxfId="23" priority="24">
      <formula>ISNA($E48)</formula>
    </cfRule>
  </conditionalFormatting>
  <conditionalFormatting sqref="B52:B54">
    <cfRule type="expression" dxfId="22" priority="23">
      <formula>ISNA($B$12:$Z$20)</formula>
    </cfRule>
  </conditionalFormatting>
  <conditionalFormatting sqref="L46:L47">
    <cfRule type="expression" dxfId="21" priority="22">
      <formula>ISNA($B$12:$Z$20)</formula>
    </cfRule>
  </conditionalFormatting>
  <conditionalFormatting sqref="P46:P47">
    <cfRule type="expression" dxfId="20" priority="21">
      <formula>ISNA($B$12:$Z$20)</formula>
    </cfRule>
  </conditionalFormatting>
  <conditionalFormatting sqref="T46:T47">
    <cfRule type="expression" dxfId="19" priority="20">
      <formula>ISNA($B$12:$Z$20)</formula>
    </cfRule>
  </conditionalFormatting>
  <conditionalFormatting sqref="Y46:Y47">
    <cfRule type="expression" dxfId="18" priority="19">
      <formula>ISNA($B$12:$Z$20)</formula>
    </cfRule>
  </conditionalFormatting>
  <conditionalFormatting sqref="D54">
    <cfRule type="expression" dxfId="17" priority="18">
      <formula>ISNA($B$12:$Z$20)</formula>
    </cfRule>
  </conditionalFormatting>
  <conditionalFormatting sqref="E48:F53">
    <cfRule type="expression" dxfId="16" priority="17">
      <formula>E37&lt;&gt;E48</formula>
    </cfRule>
  </conditionalFormatting>
  <conditionalFormatting sqref="D59:AA65">
    <cfRule type="expression" dxfId="15" priority="16">
      <formula>ISNA($E59)</formula>
    </cfRule>
  </conditionalFormatting>
  <conditionalFormatting sqref="B63:B65">
    <cfRule type="expression" dxfId="14" priority="15">
      <formula>ISNA($B$12:$Z$20)</formula>
    </cfRule>
  </conditionalFormatting>
  <conditionalFormatting sqref="L57:L58">
    <cfRule type="expression" dxfId="13" priority="14">
      <formula>ISNA($B$12:$Z$20)</formula>
    </cfRule>
  </conditionalFormatting>
  <conditionalFormatting sqref="P57:P58">
    <cfRule type="expression" dxfId="12" priority="13">
      <formula>ISNA($B$12:$Z$20)</formula>
    </cfRule>
  </conditionalFormatting>
  <conditionalFormatting sqref="T57:T58">
    <cfRule type="expression" dxfId="11" priority="12">
      <formula>ISNA($B$12:$Z$20)</formula>
    </cfRule>
  </conditionalFormatting>
  <conditionalFormatting sqref="Y57:Y58">
    <cfRule type="expression" dxfId="10" priority="11">
      <formula>ISNA($B$12:$Z$20)</formula>
    </cfRule>
  </conditionalFormatting>
  <conditionalFormatting sqref="D65">
    <cfRule type="expression" dxfId="9" priority="10">
      <formula>ISNA($B$12:$Z$20)</formula>
    </cfRule>
  </conditionalFormatting>
  <conditionalFormatting sqref="E59:F64">
    <cfRule type="expression" dxfId="8" priority="9">
      <formula>E48&lt;&gt;E59</formula>
    </cfRule>
  </conditionalFormatting>
  <conditionalFormatting sqref="D70:AA76">
    <cfRule type="expression" dxfId="7" priority="8">
      <formula>ISNA($E70)</formula>
    </cfRule>
  </conditionalFormatting>
  <conditionalFormatting sqref="B74:B76">
    <cfRule type="expression" dxfId="6" priority="7">
      <formula>ISNA($B$12:$Z$20)</formula>
    </cfRule>
  </conditionalFormatting>
  <conditionalFormatting sqref="L68:L69">
    <cfRule type="expression" dxfId="5" priority="6">
      <formula>ISNA($B$12:$Z$20)</formula>
    </cfRule>
  </conditionalFormatting>
  <conditionalFormatting sqref="P68:P69">
    <cfRule type="expression" dxfId="4" priority="5">
      <formula>ISNA($B$12:$Z$20)</formula>
    </cfRule>
  </conditionalFormatting>
  <conditionalFormatting sqref="T68:T69">
    <cfRule type="expression" dxfId="3" priority="4">
      <formula>ISNA($B$12:$Z$20)</formula>
    </cfRule>
  </conditionalFormatting>
  <conditionalFormatting sqref="Y68:Y69">
    <cfRule type="expression" dxfId="2" priority="3">
      <formula>ISNA($B$12:$Z$20)</formula>
    </cfRule>
  </conditionalFormatting>
  <conditionalFormatting sqref="D76">
    <cfRule type="expression" dxfId="1" priority="2">
      <formula>ISNA($B$12:$Z$20)</formula>
    </cfRule>
  </conditionalFormatting>
  <conditionalFormatting sqref="E70:F75">
    <cfRule type="expression" dxfId="0" priority="1">
      <formula>E59&lt;&gt;E70</formula>
    </cfRule>
  </conditionalFormatting>
  <pageMargins left="0.43307086614173229" right="0.43307086614173229" top="0.55118110236220474" bottom="0.59055118110236227" header="0.31496062992125984" footer="0.31496062992125984"/>
  <pageSetup paperSize="9" scale="65" orientation="landscape" horizontalDpi="300" verticalDpi="300" r:id="rId1"/>
  <rowBreaks count="1" manualBreakCount="1">
    <brk id="4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DEA60-CDC5-479D-811B-DA12E9458A8C}">
  <dimension ref="C2:S304"/>
  <sheetViews>
    <sheetView zoomScale="85" zoomScaleNormal="85" workbookViewId="0">
      <selection activeCell="AQ22" sqref="AQ22"/>
    </sheetView>
  </sheetViews>
  <sheetFormatPr defaultRowHeight="18"/>
  <cols>
    <col min="1" max="2" width="8.796875" style="41"/>
    <col min="3" max="3" width="10.09765625" style="338" bestFit="1" customWidth="1"/>
    <col min="4" max="8" width="8.796875" style="41"/>
    <col min="9" max="9" width="8.69921875" style="41" customWidth="1"/>
    <col min="10" max="16384" width="8.796875" style="41"/>
  </cols>
  <sheetData>
    <row r="2" spans="3:19">
      <c r="I2" s="41" t="s">
        <v>10</v>
      </c>
      <c r="J2" s="41" t="s">
        <v>17</v>
      </c>
      <c r="K2" s="41" t="s">
        <v>19</v>
      </c>
      <c r="L2" s="41" t="s">
        <v>20</v>
      </c>
      <c r="M2" s="41" t="s">
        <v>21</v>
      </c>
      <c r="N2" s="41" t="s">
        <v>22</v>
      </c>
    </row>
    <row r="3" spans="3:19">
      <c r="I3" s="339">
        <f>DATE(IF('入力＆結果'!$J20="昭和",1925+'入力＆結果'!$K20,IF('入力＆結果'!$J20="平成",1988+'入力＆結果'!$K20,2019+'入力＆結果'!$K20)),'入力＆結果'!$M20,1)</f>
        <v>43435</v>
      </c>
      <c r="J3" s="339">
        <f>DATE(IF('入力＆結果'!$J22="昭和",1925+'入力＆結果'!$K22,IF('入力＆結果'!$J22="平成",1988+'入力＆結果'!$K22,2219+'入力＆結果'!$K22)),'入力＆結果'!$M22,1)</f>
        <v>32112</v>
      </c>
      <c r="K3" s="339">
        <f>DATE(IF('入力＆結果'!$J24="昭和",1925+'入力＆結果'!$K24,IF('入力＆結果'!$J24="平成",1988+'入力＆結果'!$K24,2419+'入力＆結果'!$K24)),'入力＆結果'!$M24,1)</f>
        <v>189532</v>
      </c>
      <c r="L3" s="339">
        <f>DATE(IF('入力＆結果'!$J26="昭和",1925+'入力＆結果'!$K26,IF('入力＆結果'!$J26="平成",1988+'入力＆結果'!$K26,2619+'入力＆結果'!$K26)),'入力＆結果'!$M26,1)</f>
        <v>9102</v>
      </c>
      <c r="M3" s="339">
        <f>DATE(IF('入力＆結果'!$J28="昭和",1925+'入力＆結果'!$K28,IF('入力＆結果'!$J28="平成",1988+'入力＆結果'!$K28,2819+'入力＆結果'!$K28)),'入力＆結果'!$M28,1)</f>
        <v>9102</v>
      </c>
      <c r="N3" s="339">
        <f>DATE(IF('入力＆結果'!$J30="昭和",1925+'入力＆結果'!$K30,IF('入力＆結果'!$J30="平成",1988+'入力＆結果'!$K30,3019+'入力＆結果'!$K30)),'入力＆結果'!$M30,1)</f>
        <v>9102</v>
      </c>
    </row>
    <row r="4" spans="3:19">
      <c r="C4" s="338">
        <v>0</v>
      </c>
      <c r="E4" s="41" t="s">
        <v>242</v>
      </c>
      <c r="F4" s="41" t="s">
        <v>243</v>
      </c>
      <c r="G4" s="41" t="s">
        <v>244</v>
      </c>
      <c r="I4" s="339">
        <f>EOMONTH(I3,0)</f>
        <v>43465</v>
      </c>
      <c r="J4" s="339">
        <f t="shared" ref="J4:N4" si="0">EOMONTH(J3,0)</f>
        <v>32142</v>
      </c>
      <c r="K4" s="339">
        <f t="shared" si="0"/>
        <v>189562</v>
      </c>
      <c r="L4" s="339">
        <f t="shared" si="0"/>
        <v>9132</v>
      </c>
      <c r="M4" s="339">
        <f t="shared" si="0"/>
        <v>9132</v>
      </c>
      <c r="N4" s="339">
        <f t="shared" si="0"/>
        <v>9132</v>
      </c>
      <c r="P4" s="41" t="s">
        <v>245</v>
      </c>
      <c r="Q4" s="41" t="s">
        <v>246</v>
      </c>
      <c r="S4" s="41" t="s">
        <v>247</v>
      </c>
    </row>
    <row r="5" spans="3:19">
      <c r="C5" s="338">
        <v>50000</v>
      </c>
      <c r="E5" s="41">
        <v>26</v>
      </c>
      <c r="F5" s="41">
        <v>1</v>
      </c>
      <c r="G5" s="41">
        <v>1</v>
      </c>
      <c r="I5" s="41">
        <v>1</v>
      </c>
      <c r="J5" s="41">
        <v>1</v>
      </c>
      <c r="K5" s="41">
        <v>1</v>
      </c>
      <c r="L5" s="41">
        <v>1</v>
      </c>
      <c r="M5" s="41">
        <v>1</v>
      </c>
      <c r="N5" s="41">
        <v>1</v>
      </c>
      <c r="P5" s="41">
        <v>4</v>
      </c>
      <c r="Q5" s="41">
        <v>1</v>
      </c>
      <c r="S5" s="41">
        <v>1</v>
      </c>
    </row>
    <row r="6" spans="3:19">
      <c r="C6" s="338">
        <v>100000</v>
      </c>
      <c r="E6" s="41">
        <v>27</v>
      </c>
      <c r="F6" s="41">
        <v>2</v>
      </c>
      <c r="G6" s="41">
        <v>2</v>
      </c>
      <c r="I6" s="41">
        <v>2</v>
      </c>
      <c r="J6" s="41">
        <v>2</v>
      </c>
      <c r="K6" s="41">
        <v>2</v>
      </c>
      <c r="L6" s="41">
        <v>2</v>
      </c>
      <c r="M6" s="41">
        <v>2</v>
      </c>
      <c r="N6" s="41">
        <v>2</v>
      </c>
      <c r="P6" s="41">
        <v>5</v>
      </c>
      <c r="Q6" s="41">
        <v>2</v>
      </c>
      <c r="S6" s="41">
        <v>2</v>
      </c>
    </row>
    <row r="7" spans="3:19">
      <c r="C7" s="338">
        <v>150000</v>
      </c>
      <c r="E7" s="41">
        <v>28</v>
      </c>
      <c r="F7" s="41">
        <v>3</v>
      </c>
      <c r="G7" s="41">
        <v>3</v>
      </c>
      <c r="I7" s="41">
        <v>3</v>
      </c>
      <c r="J7" s="41">
        <v>3</v>
      </c>
      <c r="K7" s="41">
        <v>3</v>
      </c>
      <c r="L7" s="41">
        <v>3</v>
      </c>
      <c r="M7" s="41">
        <v>3</v>
      </c>
      <c r="N7" s="41">
        <v>3</v>
      </c>
      <c r="P7" s="41">
        <v>6</v>
      </c>
      <c r="Q7" s="41">
        <v>3</v>
      </c>
      <c r="S7" s="41">
        <v>3</v>
      </c>
    </row>
    <row r="8" spans="3:19">
      <c r="C8" s="338">
        <v>200000</v>
      </c>
      <c r="E8" s="41">
        <v>29</v>
      </c>
      <c r="F8" s="41">
        <v>4</v>
      </c>
      <c r="G8" s="41">
        <v>4</v>
      </c>
      <c r="I8" s="41">
        <v>4</v>
      </c>
      <c r="J8" s="41">
        <v>4</v>
      </c>
      <c r="K8" s="41">
        <v>4</v>
      </c>
      <c r="L8" s="41">
        <v>4</v>
      </c>
      <c r="M8" s="41">
        <v>4</v>
      </c>
      <c r="N8" s="41">
        <v>4</v>
      </c>
      <c r="P8" s="41">
        <v>7</v>
      </c>
      <c r="S8" s="41">
        <v>4</v>
      </c>
    </row>
    <row r="9" spans="3:19">
      <c r="C9" s="338">
        <v>250000</v>
      </c>
      <c r="E9" s="41">
        <v>30</v>
      </c>
      <c r="F9" s="41">
        <v>5</v>
      </c>
      <c r="G9" s="41">
        <v>5</v>
      </c>
      <c r="I9" s="41">
        <v>5</v>
      </c>
      <c r="J9" s="41">
        <v>5</v>
      </c>
      <c r="K9" s="41">
        <v>5</v>
      </c>
      <c r="L9" s="41">
        <v>5</v>
      </c>
      <c r="M9" s="41">
        <v>5</v>
      </c>
      <c r="N9" s="41">
        <v>5</v>
      </c>
      <c r="P9" s="41">
        <v>8</v>
      </c>
      <c r="S9" s="41">
        <v>5</v>
      </c>
    </row>
    <row r="10" spans="3:19">
      <c r="C10" s="338">
        <v>300000</v>
      </c>
      <c r="E10" s="41">
        <v>31</v>
      </c>
      <c r="F10" s="41">
        <v>6</v>
      </c>
      <c r="G10" s="41">
        <v>6</v>
      </c>
      <c r="I10" s="41">
        <v>6</v>
      </c>
      <c r="J10" s="41">
        <v>6</v>
      </c>
      <c r="K10" s="41">
        <v>6</v>
      </c>
      <c r="L10" s="41">
        <v>6</v>
      </c>
      <c r="M10" s="41">
        <v>6</v>
      </c>
      <c r="N10" s="41">
        <v>6</v>
      </c>
      <c r="P10" s="41">
        <v>9</v>
      </c>
      <c r="S10" s="41">
        <v>6</v>
      </c>
    </row>
    <row r="11" spans="3:19">
      <c r="C11" s="338">
        <v>350000</v>
      </c>
      <c r="E11" s="41">
        <v>32</v>
      </c>
      <c r="F11" s="41">
        <v>7</v>
      </c>
      <c r="G11" s="41">
        <v>7</v>
      </c>
      <c r="I11" s="41">
        <v>7</v>
      </c>
      <c r="J11" s="41">
        <v>7</v>
      </c>
      <c r="K11" s="41">
        <v>7</v>
      </c>
      <c r="L11" s="41">
        <v>7</v>
      </c>
      <c r="M11" s="41">
        <v>7</v>
      </c>
      <c r="N11" s="41">
        <v>7</v>
      </c>
      <c r="P11" s="41">
        <v>10</v>
      </c>
      <c r="S11" s="41">
        <v>7</v>
      </c>
    </row>
    <row r="12" spans="3:19">
      <c r="C12" s="338">
        <v>400000</v>
      </c>
      <c r="E12" s="41">
        <v>33</v>
      </c>
      <c r="F12" s="41">
        <v>8</v>
      </c>
      <c r="G12" s="41">
        <v>8</v>
      </c>
      <c r="I12" s="41">
        <v>8</v>
      </c>
      <c r="J12" s="41">
        <v>8</v>
      </c>
      <c r="K12" s="41">
        <v>8</v>
      </c>
      <c r="L12" s="41">
        <v>8</v>
      </c>
      <c r="M12" s="41">
        <v>8</v>
      </c>
      <c r="N12" s="41">
        <v>8</v>
      </c>
      <c r="P12" s="41">
        <v>11</v>
      </c>
      <c r="S12" s="41">
        <v>8</v>
      </c>
    </row>
    <row r="13" spans="3:19">
      <c r="C13" s="338">
        <v>450000</v>
      </c>
      <c r="E13" s="41">
        <v>34</v>
      </c>
      <c r="F13" s="41">
        <v>9</v>
      </c>
      <c r="G13" s="41">
        <v>9</v>
      </c>
      <c r="I13" s="41">
        <v>9</v>
      </c>
      <c r="J13" s="41">
        <v>9</v>
      </c>
      <c r="K13" s="41">
        <v>9</v>
      </c>
      <c r="L13" s="41">
        <v>9</v>
      </c>
      <c r="M13" s="41">
        <v>9</v>
      </c>
      <c r="N13" s="41">
        <v>9</v>
      </c>
      <c r="P13" s="41">
        <v>12</v>
      </c>
      <c r="S13" s="41">
        <v>9</v>
      </c>
    </row>
    <row r="14" spans="3:19">
      <c r="C14" s="338">
        <v>500000</v>
      </c>
      <c r="E14" s="41">
        <v>35</v>
      </c>
      <c r="F14" s="41">
        <v>10</v>
      </c>
      <c r="I14" s="41">
        <v>10</v>
      </c>
      <c r="J14" s="41">
        <v>10</v>
      </c>
      <c r="K14" s="41">
        <v>10</v>
      </c>
      <c r="L14" s="41">
        <v>10</v>
      </c>
      <c r="M14" s="41">
        <v>10</v>
      </c>
      <c r="N14" s="41">
        <v>10</v>
      </c>
      <c r="S14" s="41">
        <v>10</v>
      </c>
    </row>
    <row r="15" spans="3:19">
      <c r="C15" s="338">
        <v>550000</v>
      </c>
      <c r="E15" s="41">
        <v>36</v>
      </c>
      <c r="F15" s="41">
        <v>11</v>
      </c>
      <c r="I15" s="41">
        <v>11</v>
      </c>
      <c r="J15" s="41">
        <v>11</v>
      </c>
      <c r="K15" s="41">
        <v>11</v>
      </c>
      <c r="L15" s="41">
        <v>11</v>
      </c>
      <c r="M15" s="41">
        <v>11</v>
      </c>
      <c r="N15" s="41">
        <v>11</v>
      </c>
      <c r="S15" s="41">
        <v>11</v>
      </c>
    </row>
    <row r="16" spans="3:19">
      <c r="C16" s="338">
        <v>600000</v>
      </c>
      <c r="E16" s="41">
        <v>37</v>
      </c>
      <c r="F16" s="41">
        <v>12</v>
      </c>
      <c r="I16" s="41">
        <v>12</v>
      </c>
      <c r="J16" s="41">
        <v>12</v>
      </c>
      <c r="K16" s="41">
        <v>12</v>
      </c>
      <c r="L16" s="41">
        <v>12</v>
      </c>
      <c r="M16" s="41">
        <v>12</v>
      </c>
      <c r="N16" s="41">
        <v>12</v>
      </c>
      <c r="S16" s="41">
        <v>12</v>
      </c>
    </row>
    <row r="17" spans="3:19">
      <c r="C17" s="338">
        <v>650000</v>
      </c>
      <c r="E17" s="41">
        <v>38</v>
      </c>
      <c r="F17" s="41">
        <v>13</v>
      </c>
      <c r="I17" s="41">
        <v>13</v>
      </c>
      <c r="J17" s="41">
        <v>13</v>
      </c>
      <c r="K17" s="41">
        <v>13</v>
      </c>
      <c r="L17" s="41">
        <v>13</v>
      </c>
      <c r="M17" s="41">
        <v>13</v>
      </c>
      <c r="N17" s="41">
        <v>13</v>
      </c>
      <c r="S17" s="41">
        <v>13</v>
      </c>
    </row>
    <row r="18" spans="3:19">
      <c r="C18" s="338">
        <v>700000</v>
      </c>
      <c r="E18" s="41">
        <v>39</v>
      </c>
      <c r="F18" s="41">
        <v>14</v>
      </c>
      <c r="I18" s="41">
        <v>14</v>
      </c>
      <c r="J18" s="41">
        <v>14</v>
      </c>
      <c r="K18" s="41">
        <v>14</v>
      </c>
      <c r="L18" s="41">
        <v>14</v>
      </c>
      <c r="M18" s="41">
        <v>14</v>
      </c>
      <c r="N18" s="41">
        <v>14</v>
      </c>
      <c r="S18" s="41">
        <v>14</v>
      </c>
    </row>
    <row r="19" spans="3:19">
      <c r="C19" s="338">
        <v>750000</v>
      </c>
      <c r="E19" s="41">
        <v>40</v>
      </c>
      <c r="F19" s="41">
        <v>15</v>
      </c>
      <c r="I19" s="41">
        <v>15</v>
      </c>
      <c r="J19" s="41">
        <v>15</v>
      </c>
      <c r="K19" s="41">
        <v>15</v>
      </c>
      <c r="L19" s="41">
        <v>15</v>
      </c>
      <c r="M19" s="41">
        <v>15</v>
      </c>
      <c r="N19" s="41">
        <v>15</v>
      </c>
      <c r="S19" s="41">
        <v>15</v>
      </c>
    </row>
    <row r="20" spans="3:19">
      <c r="C20" s="338">
        <v>800000</v>
      </c>
      <c r="E20" s="41">
        <v>41</v>
      </c>
      <c r="F20" s="41">
        <v>16</v>
      </c>
      <c r="I20" s="41">
        <v>16</v>
      </c>
      <c r="J20" s="41">
        <v>16</v>
      </c>
      <c r="K20" s="41">
        <v>16</v>
      </c>
      <c r="L20" s="41">
        <v>16</v>
      </c>
      <c r="M20" s="41">
        <v>16</v>
      </c>
      <c r="N20" s="41">
        <v>16</v>
      </c>
      <c r="S20" s="41">
        <v>16</v>
      </c>
    </row>
    <row r="21" spans="3:19">
      <c r="C21" s="338">
        <v>850000</v>
      </c>
      <c r="E21" s="41">
        <v>42</v>
      </c>
      <c r="F21" s="41">
        <v>17</v>
      </c>
      <c r="I21" s="41">
        <v>17</v>
      </c>
      <c r="J21" s="41">
        <v>17</v>
      </c>
      <c r="K21" s="41">
        <v>17</v>
      </c>
      <c r="L21" s="41">
        <v>17</v>
      </c>
      <c r="M21" s="41">
        <v>17</v>
      </c>
      <c r="N21" s="41">
        <v>17</v>
      </c>
      <c r="S21" s="41">
        <v>17</v>
      </c>
    </row>
    <row r="22" spans="3:19">
      <c r="C22" s="338">
        <v>900000</v>
      </c>
      <c r="E22" s="41">
        <v>43</v>
      </c>
      <c r="F22" s="41">
        <v>18</v>
      </c>
      <c r="I22" s="41">
        <v>18</v>
      </c>
      <c r="J22" s="41">
        <v>18</v>
      </c>
      <c r="K22" s="41">
        <v>18</v>
      </c>
      <c r="L22" s="41">
        <v>18</v>
      </c>
      <c r="M22" s="41">
        <v>18</v>
      </c>
      <c r="N22" s="41">
        <v>18</v>
      </c>
      <c r="S22" s="41">
        <v>18</v>
      </c>
    </row>
    <row r="23" spans="3:19">
      <c r="C23" s="338">
        <v>950000</v>
      </c>
      <c r="E23" s="41">
        <v>44</v>
      </c>
      <c r="F23" s="41">
        <v>19</v>
      </c>
      <c r="I23" s="41">
        <v>19</v>
      </c>
      <c r="J23" s="41">
        <v>19</v>
      </c>
      <c r="K23" s="41">
        <v>19</v>
      </c>
      <c r="L23" s="41">
        <v>19</v>
      </c>
      <c r="M23" s="41">
        <v>19</v>
      </c>
      <c r="N23" s="41">
        <v>19</v>
      </c>
      <c r="S23" s="41">
        <v>19</v>
      </c>
    </row>
    <row r="24" spans="3:19">
      <c r="C24" s="338">
        <v>1000000</v>
      </c>
      <c r="E24" s="41">
        <v>45</v>
      </c>
      <c r="F24" s="41">
        <v>20</v>
      </c>
      <c r="I24" s="41">
        <v>20</v>
      </c>
      <c r="J24" s="41">
        <v>20</v>
      </c>
      <c r="K24" s="41">
        <v>20</v>
      </c>
      <c r="L24" s="41">
        <v>20</v>
      </c>
      <c r="M24" s="41">
        <v>20</v>
      </c>
      <c r="N24" s="41">
        <v>20</v>
      </c>
      <c r="S24" s="41">
        <v>20</v>
      </c>
    </row>
    <row r="25" spans="3:19">
      <c r="C25" s="338">
        <v>1050000</v>
      </c>
      <c r="E25" s="41">
        <v>46</v>
      </c>
      <c r="F25" s="41">
        <v>21</v>
      </c>
      <c r="I25" s="41">
        <v>21</v>
      </c>
      <c r="J25" s="41">
        <v>21</v>
      </c>
      <c r="K25" s="41">
        <v>21</v>
      </c>
      <c r="L25" s="41">
        <v>21</v>
      </c>
      <c r="M25" s="41">
        <v>21</v>
      </c>
      <c r="N25" s="41">
        <v>21</v>
      </c>
      <c r="S25" s="41">
        <v>21</v>
      </c>
    </row>
    <row r="26" spans="3:19">
      <c r="C26" s="338">
        <v>1100000</v>
      </c>
      <c r="E26" s="41">
        <v>47</v>
      </c>
      <c r="F26" s="41">
        <v>22</v>
      </c>
      <c r="I26" s="41">
        <v>22</v>
      </c>
      <c r="J26" s="41">
        <v>22</v>
      </c>
      <c r="K26" s="41">
        <v>22</v>
      </c>
      <c r="L26" s="41">
        <v>22</v>
      </c>
      <c r="M26" s="41">
        <v>22</v>
      </c>
      <c r="N26" s="41">
        <v>22</v>
      </c>
      <c r="S26" s="41">
        <v>22</v>
      </c>
    </row>
    <row r="27" spans="3:19">
      <c r="C27" s="338">
        <v>1150000</v>
      </c>
      <c r="E27" s="41">
        <v>48</v>
      </c>
      <c r="F27" s="41">
        <v>23</v>
      </c>
      <c r="I27" s="41">
        <v>23</v>
      </c>
      <c r="J27" s="41">
        <v>23</v>
      </c>
      <c r="K27" s="41">
        <v>23</v>
      </c>
      <c r="L27" s="41">
        <v>23</v>
      </c>
      <c r="M27" s="41">
        <v>23</v>
      </c>
      <c r="N27" s="41">
        <v>23</v>
      </c>
      <c r="S27" s="41">
        <v>23</v>
      </c>
    </row>
    <row r="28" spans="3:19">
      <c r="C28" s="338">
        <v>1200000</v>
      </c>
      <c r="E28" s="41">
        <v>49</v>
      </c>
      <c r="F28" s="41">
        <v>24</v>
      </c>
      <c r="I28" s="41">
        <v>24</v>
      </c>
      <c r="J28" s="41">
        <v>24</v>
      </c>
      <c r="K28" s="41">
        <v>24</v>
      </c>
      <c r="L28" s="41">
        <v>24</v>
      </c>
      <c r="M28" s="41">
        <v>24</v>
      </c>
      <c r="N28" s="41">
        <v>24</v>
      </c>
      <c r="S28" s="41">
        <v>24</v>
      </c>
    </row>
    <row r="29" spans="3:19">
      <c r="C29" s="338">
        <v>1250000</v>
      </c>
      <c r="E29" s="41">
        <v>50</v>
      </c>
      <c r="F29" s="41">
        <v>25</v>
      </c>
      <c r="I29" s="41">
        <v>25</v>
      </c>
      <c r="J29" s="41">
        <v>25</v>
      </c>
      <c r="K29" s="41">
        <v>25</v>
      </c>
      <c r="L29" s="41">
        <v>25</v>
      </c>
      <c r="M29" s="41">
        <v>25</v>
      </c>
      <c r="N29" s="41">
        <v>25</v>
      </c>
      <c r="S29" s="41">
        <v>25</v>
      </c>
    </row>
    <row r="30" spans="3:19">
      <c r="C30" s="338">
        <v>1300000</v>
      </c>
      <c r="E30" s="41">
        <v>51</v>
      </c>
      <c r="F30" s="41">
        <v>26</v>
      </c>
      <c r="I30" s="41">
        <v>26</v>
      </c>
      <c r="J30" s="41">
        <v>26</v>
      </c>
      <c r="K30" s="41">
        <v>26</v>
      </c>
      <c r="L30" s="41">
        <v>26</v>
      </c>
      <c r="M30" s="41">
        <v>26</v>
      </c>
      <c r="N30" s="41">
        <v>26</v>
      </c>
      <c r="S30" s="41">
        <v>26</v>
      </c>
    </row>
    <row r="31" spans="3:19">
      <c r="C31" s="338">
        <v>1350000</v>
      </c>
      <c r="E31" s="41">
        <v>52</v>
      </c>
      <c r="F31" s="41">
        <v>27</v>
      </c>
      <c r="I31" s="41">
        <v>27</v>
      </c>
      <c r="J31" s="41">
        <v>27</v>
      </c>
      <c r="K31" s="41">
        <v>27</v>
      </c>
      <c r="L31" s="41">
        <v>27</v>
      </c>
      <c r="M31" s="41">
        <v>27</v>
      </c>
      <c r="N31" s="41">
        <v>27</v>
      </c>
      <c r="S31" s="41">
        <v>27</v>
      </c>
    </row>
    <row r="32" spans="3:19">
      <c r="C32" s="338">
        <v>1400000</v>
      </c>
      <c r="E32" s="41">
        <v>53</v>
      </c>
      <c r="F32" s="41">
        <v>28</v>
      </c>
      <c r="I32" s="41">
        <v>28</v>
      </c>
      <c r="J32" s="41">
        <v>28</v>
      </c>
      <c r="K32" s="41">
        <v>28</v>
      </c>
      <c r="L32" s="41">
        <v>28</v>
      </c>
      <c r="M32" s="41">
        <v>28</v>
      </c>
      <c r="N32" s="41">
        <v>28</v>
      </c>
      <c r="S32" s="41">
        <v>28</v>
      </c>
    </row>
    <row r="33" spans="3:19">
      <c r="C33" s="338">
        <v>1450000</v>
      </c>
      <c r="E33" s="41">
        <v>54</v>
      </c>
      <c r="F33" s="41">
        <v>29</v>
      </c>
      <c r="I33" s="340">
        <f>IF(I4-I3=27,"",29)</f>
        <v>29</v>
      </c>
      <c r="J33" s="340">
        <f t="shared" ref="J33:N33" si="1">IF(J4-J3=27,"",29)</f>
        <v>29</v>
      </c>
      <c r="K33" s="340">
        <f t="shared" si="1"/>
        <v>29</v>
      </c>
      <c r="L33" s="340">
        <f t="shared" si="1"/>
        <v>29</v>
      </c>
      <c r="M33" s="340">
        <f t="shared" si="1"/>
        <v>29</v>
      </c>
      <c r="N33" s="340">
        <f t="shared" si="1"/>
        <v>29</v>
      </c>
      <c r="S33" s="41">
        <v>29</v>
      </c>
    </row>
    <row r="34" spans="3:19">
      <c r="C34" s="338">
        <v>1500000</v>
      </c>
      <c r="E34" s="41">
        <v>55</v>
      </c>
      <c r="F34" s="41">
        <v>30</v>
      </c>
      <c r="I34" s="340">
        <f>IF(I35=31,30,IF((I4-I3)=29,30,""))</f>
        <v>30</v>
      </c>
      <c r="J34" s="340">
        <f t="shared" ref="J34:N34" si="2">IF(J35=31,30,IF((J4-J3)=29,30,""))</f>
        <v>30</v>
      </c>
      <c r="K34" s="340">
        <f t="shared" si="2"/>
        <v>30</v>
      </c>
      <c r="L34" s="340">
        <f t="shared" si="2"/>
        <v>30</v>
      </c>
      <c r="M34" s="340">
        <f t="shared" si="2"/>
        <v>30</v>
      </c>
      <c r="N34" s="340">
        <f t="shared" si="2"/>
        <v>30</v>
      </c>
      <c r="S34" s="41">
        <v>30</v>
      </c>
    </row>
    <row r="35" spans="3:19">
      <c r="C35" s="338">
        <v>1550000</v>
      </c>
      <c r="E35" s="41">
        <v>56</v>
      </c>
      <c r="F35" s="41">
        <v>31</v>
      </c>
      <c r="I35" s="340">
        <f>IF((I4-I3)=30,31,"")</f>
        <v>31</v>
      </c>
      <c r="J35" s="340">
        <f t="shared" ref="J35:N35" si="3">IF((J4-J3)=30,31,"")</f>
        <v>31</v>
      </c>
      <c r="K35" s="340">
        <f t="shared" si="3"/>
        <v>31</v>
      </c>
      <c r="L35" s="340">
        <f t="shared" si="3"/>
        <v>31</v>
      </c>
      <c r="M35" s="340">
        <f t="shared" si="3"/>
        <v>31</v>
      </c>
      <c r="N35" s="340">
        <f t="shared" si="3"/>
        <v>31</v>
      </c>
      <c r="S35" s="41">
        <v>31</v>
      </c>
    </row>
    <row r="36" spans="3:19">
      <c r="C36" s="338">
        <v>1600000</v>
      </c>
      <c r="E36" s="41">
        <v>57</v>
      </c>
      <c r="S36" s="41">
        <v>32</v>
      </c>
    </row>
    <row r="37" spans="3:19">
      <c r="C37" s="338">
        <v>1650000</v>
      </c>
      <c r="E37" s="41">
        <v>58</v>
      </c>
      <c r="S37" s="41">
        <v>33</v>
      </c>
    </row>
    <row r="38" spans="3:19">
      <c r="C38" s="338">
        <v>1700000</v>
      </c>
      <c r="E38" s="41">
        <v>59</v>
      </c>
      <c r="S38" s="41">
        <v>34</v>
      </c>
    </row>
    <row r="39" spans="3:19">
      <c r="C39" s="338">
        <v>1750000</v>
      </c>
      <c r="E39" s="41">
        <v>60</v>
      </c>
      <c r="S39" s="41">
        <v>35</v>
      </c>
    </row>
    <row r="40" spans="3:19">
      <c r="C40" s="338">
        <v>1800000</v>
      </c>
      <c r="E40" s="41">
        <v>61</v>
      </c>
      <c r="S40" s="41">
        <v>36</v>
      </c>
    </row>
    <row r="41" spans="3:19">
      <c r="C41" s="338">
        <v>1850000</v>
      </c>
      <c r="E41" s="41">
        <v>62</v>
      </c>
      <c r="S41" s="41">
        <v>37</v>
      </c>
    </row>
    <row r="42" spans="3:19">
      <c r="C42" s="338">
        <v>1900000</v>
      </c>
      <c r="E42" s="41">
        <v>63</v>
      </c>
      <c r="S42" s="41">
        <v>38</v>
      </c>
    </row>
    <row r="43" spans="3:19">
      <c r="C43" s="338">
        <v>1950000</v>
      </c>
      <c r="E43" s="41">
        <v>64</v>
      </c>
      <c r="S43" s="41">
        <v>39</v>
      </c>
    </row>
    <row r="44" spans="3:19">
      <c r="C44" s="338">
        <v>2000000</v>
      </c>
      <c r="S44" s="41">
        <v>40</v>
      </c>
    </row>
    <row r="45" spans="3:19">
      <c r="C45" s="338">
        <v>2050000</v>
      </c>
      <c r="S45" s="41">
        <v>41</v>
      </c>
    </row>
    <row r="46" spans="3:19">
      <c r="C46" s="338">
        <v>2100000</v>
      </c>
      <c r="S46" s="41">
        <v>42</v>
      </c>
    </row>
    <row r="47" spans="3:19">
      <c r="C47" s="338">
        <v>2150000</v>
      </c>
      <c r="S47" s="41">
        <v>43</v>
      </c>
    </row>
    <row r="48" spans="3:19">
      <c r="C48" s="338">
        <v>2200000</v>
      </c>
      <c r="S48" s="41">
        <v>44</v>
      </c>
    </row>
    <row r="49" spans="3:19">
      <c r="C49" s="338">
        <v>2250000</v>
      </c>
      <c r="S49" s="41">
        <v>45</v>
      </c>
    </row>
    <row r="50" spans="3:19">
      <c r="C50" s="338">
        <v>2300000</v>
      </c>
      <c r="S50" s="41">
        <v>46</v>
      </c>
    </row>
    <row r="51" spans="3:19">
      <c r="C51" s="338">
        <v>2350000</v>
      </c>
      <c r="S51" s="41">
        <v>47</v>
      </c>
    </row>
    <row r="52" spans="3:19">
      <c r="C52" s="338">
        <v>2400000</v>
      </c>
      <c r="S52" s="41">
        <v>48</v>
      </c>
    </row>
    <row r="53" spans="3:19">
      <c r="C53" s="338">
        <v>2450000</v>
      </c>
      <c r="S53" s="41">
        <v>49</v>
      </c>
    </row>
    <row r="54" spans="3:19">
      <c r="C54" s="338">
        <v>2500000</v>
      </c>
      <c r="S54" s="41">
        <v>50</v>
      </c>
    </row>
    <row r="55" spans="3:19">
      <c r="C55" s="338">
        <v>2550000</v>
      </c>
      <c r="S55" s="41">
        <v>51</v>
      </c>
    </row>
    <row r="56" spans="3:19">
      <c r="C56" s="338">
        <v>2600000</v>
      </c>
      <c r="S56" s="41">
        <v>52</v>
      </c>
    </row>
    <row r="57" spans="3:19">
      <c r="C57" s="338">
        <v>2650000</v>
      </c>
      <c r="S57" s="41">
        <v>53</v>
      </c>
    </row>
    <row r="58" spans="3:19">
      <c r="C58" s="338">
        <v>2700000</v>
      </c>
      <c r="S58" s="41">
        <v>54</v>
      </c>
    </row>
    <row r="59" spans="3:19">
      <c r="C59" s="338">
        <v>2750000</v>
      </c>
      <c r="S59" s="41">
        <v>55</v>
      </c>
    </row>
    <row r="60" spans="3:19">
      <c r="C60" s="338">
        <v>2800000</v>
      </c>
      <c r="S60" s="41">
        <v>56</v>
      </c>
    </row>
    <row r="61" spans="3:19">
      <c r="C61" s="338">
        <v>2850000</v>
      </c>
      <c r="S61" s="41">
        <v>57</v>
      </c>
    </row>
    <row r="62" spans="3:19">
      <c r="C62" s="338">
        <v>2900000</v>
      </c>
      <c r="S62" s="41">
        <v>58</v>
      </c>
    </row>
    <row r="63" spans="3:19">
      <c r="C63" s="338">
        <v>2950000</v>
      </c>
      <c r="S63" s="41">
        <v>59</v>
      </c>
    </row>
    <row r="64" spans="3:19">
      <c r="C64" s="338">
        <v>3000000</v>
      </c>
      <c r="S64" s="41">
        <v>60</v>
      </c>
    </row>
    <row r="65" spans="3:19">
      <c r="C65" s="338">
        <v>3050000</v>
      </c>
      <c r="S65" s="41">
        <v>61</v>
      </c>
    </row>
    <row r="66" spans="3:19">
      <c r="C66" s="338">
        <v>3100000</v>
      </c>
      <c r="S66" s="41">
        <v>62</v>
      </c>
    </row>
    <row r="67" spans="3:19">
      <c r="C67" s="338">
        <v>3150000</v>
      </c>
      <c r="S67" s="41">
        <v>63</v>
      </c>
    </row>
    <row r="68" spans="3:19">
      <c r="C68" s="338">
        <v>3200000</v>
      </c>
      <c r="S68" s="41">
        <v>64</v>
      </c>
    </row>
    <row r="69" spans="3:19">
      <c r="C69" s="338">
        <v>3250000</v>
      </c>
    </row>
    <row r="70" spans="3:19">
      <c r="C70" s="338">
        <v>3300000</v>
      </c>
    </row>
    <row r="71" spans="3:19">
      <c r="C71" s="338">
        <v>3350000</v>
      </c>
    </row>
    <row r="72" spans="3:19">
      <c r="C72" s="338">
        <v>3400000</v>
      </c>
    </row>
    <row r="73" spans="3:19">
      <c r="C73" s="338">
        <v>3450000</v>
      </c>
    </row>
    <row r="74" spans="3:19">
      <c r="C74" s="338">
        <v>3500000</v>
      </c>
    </row>
    <row r="75" spans="3:19">
      <c r="C75" s="338">
        <v>3550000</v>
      </c>
    </row>
    <row r="76" spans="3:19">
      <c r="C76" s="338">
        <v>3600000</v>
      </c>
    </row>
    <row r="77" spans="3:19">
      <c r="C77" s="338">
        <v>3650000</v>
      </c>
    </row>
    <row r="78" spans="3:19">
      <c r="C78" s="338">
        <v>3700000</v>
      </c>
    </row>
    <row r="79" spans="3:19">
      <c r="C79" s="338">
        <v>3750000</v>
      </c>
    </row>
    <row r="80" spans="3:19">
      <c r="C80" s="338">
        <v>3800000</v>
      </c>
    </row>
    <row r="81" spans="3:3">
      <c r="C81" s="338">
        <v>3850000</v>
      </c>
    </row>
    <row r="82" spans="3:3">
      <c r="C82" s="338">
        <v>3900000</v>
      </c>
    </row>
    <row r="83" spans="3:3">
      <c r="C83" s="338">
        <v>3950000</v>
      </c>
    </row>
    <row r="84" spans="3:3">
      <c r="C84" s="338">
        <v>4000000</v>
      </c>
    </row>
    <row r="85" spans="3:3">
      <c r="C85" s="338">
        <v>4050000</v>
      </c>
    </row>
    <row r="86" spans="3:3">
      <c r="C86" s="338">
        <v>4100000</v>
      </c>
    </row>
    <row r="87" spans="3:3">
      <c r="C87" s="338">
        <v>4150000</v>
      </c>
    </row>
    <row r="88" spans="3:3">
      <c r="C88" s="338">
        <v>4200000</v>
      </c>
    </row>
    <row r="89" spans="3:3">
      <c r="C89" s="338">
        <v>4250000</v>
      </c>
    </row>
    <row r="90" spans="3:3">
      <c r="C90" s="338">
        <v>4300000</v>
      </c>
    </row>
    <row r="91" spans="3:3">
      <c r="C91" s="338">
        <v>4350000</v>
      </c>
    </row>
    <row r="92" spans="3:3">
      <c r="C92" s="338">
        <v>4400000</v>
      </c>
    </row>
    <row r="93" spans="3:3">
      <c r="C93" s="338">
        <v>4450000</v>
      </c>
    </row>
    <row r="94" spans="3:3">
      <c r="C94" s="338">
        <v>4500000</v>
      </c>
    </row>
    <row r="95" spans="3:3">
      <c r="C95" s="338">
        <v>4550000</v>
      </c>
    </row>
    <row r="96" spans="3:3">
      <c r="C96" s="338">
        <v>4600000</v>
      </c>
    </row>
    <row r="97" spans="3:3">
      <c r="C97" s="338">
        <v>4650000</v>
      </c>
    </row>
    <row r="98" spans="3:3">
      <c r="C98" s="338">
        <v>4700000</v>
      </c>
    </row>
    <row r="99" spans="3:3">
      <c r="C99" s="338">
        <v>4750000</v>
      </c>
    </row>
    <row r="100" spans="3:3">
      <c r="C100" s="338">
        <v>4800000</v>
      </c>
    </row>
    <row r="101" spans="3:3">
      <c r="C101" s="338">
        <v>4850000</v>
      </c>
    </row>
    <row r="102" spans="3:3">
      <c r="C102" s="338">
        <v>4900000</v>
      </c>
    </row>
    <row r="103" spans="3:3">
      <c r="C103" s="338">
        <v>4950000</v>
      </c>
    </row>
    <row r="104" spans="3:3">
      <c r="C104" s="338">
        <v>5000000</v>
      </c>
    </row>
    <row r="105" spans="3:3">
      <c r="C105" s="338">
        <v>5050000</v>
      </c>
    </row>
    <row r="106" spans="3:3">
      <c r="C106" s="338">
        <v>5100000</v>
      </c>
    </row>
    <row r="107" spans="3:3">
      <c r="C107" s="338">
        <v>5150000</v>
      </c>
    </row>
    <row r="108" spans="3:3">
      <c r="C108" s="338">
        <v>5200000</v>
      </c>
    </row>
    <row r="109" spans="3:3">
      <c r="C109" s="338">
        <v>5250000</v>
      </c>
    </row>
    <row r="110" spans="3:3">
      <c r="C110" s="338">
        <v>5300000</v>
      </c>
    </row>
    <row r="111" spans="3:3">
      <c r="C111" s="338">
        <v>5350000</v>
      </c>
    </row>
    <row r="112" spans="3:3">
      <c r="C112" s="338">
        <v>5400000</v>
      </c>
    </row>
    <row r="113" spans="3:3">
      <c r="C113" s="338">
        <v>5450000</v>
      </c>
    </row>
    <row r="114" spans="3:3">
      <c r="C114" s="338">
        <v>5500000</v>
      </c>
    </row>
    <row r="115" spans="3:3">
      <c r="C115" s="338">
        <v>5550000</v>
      </c>
    </row>
    <row r="116" spans="3:3">
      <c r="C116" s="338">
        <v>5600000</v>
      </c>
    </row>
    <row r="117" spans="3:3">
      <c r="C117" s="338">
        <v>5650000</v>
      </c>
    </row>
    <row r="118" spans="3:3">
      <c r="C118" s="338">
        <v>5700000</v>
      </c>
    </row>
    <row r="119" spans="3:3">
      <c r="C119" s="338">
        <v>5750000</v>
      </c>
    </row>
    <row r="120" spans="3:3">
      <c r="C120" s="338">
        <v>5800000</v>
      </c>
    </row>
    <row r="121" spans="3:3">
      <c r="C121" s="338">
        <v>5850000</v>
      </c>
    </row>
    <row r="122" spans="3:3">
      <c r="C122" s="338">
        <v>5900000</v>
      </c>
    </row>
    <row r="123" spans="3:3">
      <c r="C123" s="338">
        <v>5950000</v>
      </c>
    </row>
    <row r="124" spans="3:3">
      <c r="C124" s="338">
        <v>6000000</v>
      </c>
    </row>
    <row r="125" spans="3:3">
      <c r="C125" s="338">
        <v>6050000</v>
      </c>
    </row>
    <row r="126" spans="3:3">
      <c r="C126" s="338">
        <v>6100000</v>
      </c>
    </row>
    <row r="127" spans="3:3">
      <c r="C127" s="338">
        <v>6150000</v>
      </c>
    </row>
    <row r="128" spans="3:3">
      <c r="C128" s="338">
        <v>6200000</v>
      </c>
    </row>
    <row r="129" spans="3:3">
      <c r="C129" s="338">
        <v>6250000</v>
      </c>
    </row>
    <row r="130" spans="3:3">
      <c r="C130" s="338">
        <v>6300000</v>
      </c>
    </row>
    <row r="131" spans="3:3">
      <c r="C131" s="338">
        <v>6350000</v>
      </c>
    </row>
    <row r="132" spans="3:3">
      <c r="C132" s="338">
        <v>6400000</v>
      </c>
    </row>
    <row r="133" spans="3:3">
      <c r="C133" s="338">
        <v>6450000</v>
      </c>
    </row>
    <row r="134" spans="3:3">
      <c r="C134" s="338">
        <v>6500000</v>
      </c>
    </row>
    <row r="135" spans="3:3">
      <c r="C135" s="338">
        <v>6550000</v>
      </c>
    </row>
    <row r="136" spans="3:3">
      <c r="C136" s="338">
        <v>6600000</v>
      </c>
    </row>
    <row r="137" spans="3:3">
      <c r="C137" s="338">
        <v>6650000</v>
      </c>
    </row>
    <row r="138" spans="3:3">
      <c r="C138" s="338">
        <v>6700000</v>
      </c>
    </row>
    <row r="139" spans="3:3">
      <c r="C139" s="338">
        <v>6750000</v>
      </c>
    </row>
    <row r="140" spans="3:3">
      <c r="C140" s="338">
        <v>6800000</v>
      </c>
    </row>
    <row r="141" spans="3:3">
      <c r="C141" s="338">
        <v>6850000</v>
      </c>
    </row>
    <row r="142" spans="3:3">
      <c r="C142" s="338">
        <v>6900000</v>
      </c>
    </row>
    <row r="143" spans="3:3">
      <c r="C143" s="338">
        <v>6950000</v>
      </c>
    </row>
    <row r="144" spans="3:3">
      <c r="C144" s="338">
        <v>7000000</v>
      </c>
    </row>
    <row r="145" spans="3:3">
      <c r="C145" s="338">
        <v>7050000</v>
      </c>
    </row>
    <row r="146" spans="3:3">
      <c r="C146" s="338">
        <v>7100000</v>
      </c>
    </row>
    <row r="147" spans="3:3">
      <c r="C147" s="338">
        <v>7150000</v>
      </c>
    </row>
    <row r="148" spans="3:3">
      <c r="C148" s="338">
        <v>7200000</v>
      </c>
    </row>
    <row r="149" spans="3:3">
      <c r="C149" s="338">
        <v>7250000</v>
      </c>
    </row>
    <row r="150" spans="3:3">
      <c r="C150" s="338">
        <v>7300000</v>
      </c>
    </row>
    <row r="151" spans="3:3">
      <c r="C151" s="338">
        <v>7350000</v>
      </c>
    </row>
    <row r="152" spans="3:3">
      <c r="C152" s="338">
        <v>7400000</v>
      </c>
    </row>
    <row r="153" spans="3:3">
      <c r="C153" s="338">
        <v>7450000</v>
      </c>
    </row>
    <row r="154" spans="3:3">
      <c r="C154" s="338">
        <v>7500000</v>
      </c>
    </row>
    <row r="155" spans="3:3">
      <c r="C155" s="338">
        <v>7550000</v>
      </c>
    </row>
    <row r="156" spans="3:3">
      <c r="C156" s="338">
        <v>7600000</v>
      </c>
    </row>
    <row r="157" spans="3:3">
      <c r="C157" s="338">
        <v>7650000</v>
      </c>
    </row>
    <row r="158" spans="3:3">
      <c r="C158" s="338">
        <v>7700000</v>
      </c>
    </row>
    <row r="159" spans="3:3">
      <c r="C159" s="338">
        <v>7750000</v>
      </c>
    </row>
    <row r="160" spans="3:3">
      <c r="C160" s="338">
        <v>7800000</v>
      </c>
    </row>
    <row r="161" spans="3:3">
      <c r="C161" s="338">
        <v>7850000</v>
      </c>
    </row>
    <row r="162" spans="3:3">
      <c r="C162" s="338">
        <v>7900000</v>
      </c>
    </row>
    <row r="163" spans="3:3">
      <c r="C163" s="338">
        <v>7950000</v>
      </c>
    </row>
    <row r="164" spans="3:3">
      <c r="C164" s="338">
        <v>8000000</v>
      </c>
    </row>
    <row r="165" spans="3:3">
      <c r="C165" s="338">
        <v>8050000</v>
      </c>
    </row>
    <row r="166" spans="3:3">
      <c r="C166" s="338">
        <v>8100000</v>
      </c>
    </row>
    <row r="167" spans="3:3">
      <c r="C167" s="338">
        <v>8150000</v>
      </c>
    </row>
    <row r="168" spans="3:3">
      <c r="C168" s="338">
        <v>8200000</v>
      </c>
    </row>
    <row r="169" spans="3:3">
      <c r="C169" s="338">
        <v>8250000</v>
      </c>
    </row>
    <row r="170" spans="3:3">
      <c r="C170" s="338">
        <v>8300000</v>
      </c>
    </row>
    <row r="171" spans="3:3">
      <c r="C171" s="338">
        <v>8350000</v>
      </c>
    </row>
    <row r="172" spans="3:3">
      <c r="C172" s="338">
        <v>8400000</v>
      </c>
    </row>
    <row r="173" spans="3:3">
      <c r="C173" s="338">
        <v>8450000</v>
      </c>
    </row>
    <row r="174" spans="3:3">
      <c r="C174" s="338">
        <v>8500000</v>
      </c>
    </row>
    <row r="175" spans="3:3">
      <c r="C175" s="338">
        <v>8550000</v>
      </c>
    </row>
    <row r="176" spans="3:3">
      <c r="C176" s="338">
        <v>8600000</v>
      </c>
    </row>
    <row r="177" spans="3:3">
      <c r="C177" s="338">
        <v>8650000</v>
      </c>
    </row>
    <row r="178" spans="3:3">
      <c r="C178" s="338">
        <v>8700000</v>
      </c>
    </row>
    <row r="179" spans="3:3">
      <c r="C179" s="338">
        <v>8750000</v>
      </c>
    </row>
    <row r="180" spans="3:3">
      <c r="C180" s="338">
        <v>8800000</v>
      </c>
    </row>
    <row r="181" spans="3:3">
      <c r="C181" s="338">
        <v>8850000</v>
      </c>
    </row>
    <row r="182" spans="3:3">
      <c r="C182" s="338">
        <v>8900000</v>
      </c>
    </row>
    <row r="183" spans="3:3">
      <c r="C183" s="338">
        <v>8950000</v>
      </c>
    </row>
    <row r="184" spans="3:3">
      <c r="C184" s="338">
        <v>9000000</v>
      </c>
    </row>
    <row r="185" spans="3:3">
      <c r="C185" s="338">
        <v>9050000</v>
      </c>
    </row>
    <row r="186" spans="3:3">
      <c r="C186" s="338">
        <v>9100000</v>
      </c>
    </row>
    <row r="187" spans="3:3">
      <c r="C187" s="338">
        <v>9150000</v>
      </c>
    </row>
    <row r="188" spans="3:3">
      <c r="C188" s="338">
        <v>9200000</v>
      </c>
    </row>
    <row r="189" spans="3:3">
      <c r="C189" s="338">
        <v>9250000</v>
      </c>
    </row>
    <row r="190" spans="3:3">
      <c r="C190" s="338">
        <v>9300000</v>
      </c>
    </row>
    <row r="191" spans="3:3">
      <c r="C191" s="338">
        <v>9350000</v>
      </c>
    </row>
    <row r="192" spans="3:3">
      <c r="C192" s="338">
        <v>9400000</v>
      </c>
    </row>
    <row r="193" spans="3:3">
      <c r="C193" s="338">
        <v>9450000</v>
      </c>
    </row>
    <row r="194" spans="3:3">
      <c r="C194" s="338">
        <v>9500000</v>
      </c>
    </row>
    <row r="195" spans="3:3">
      <c r="C195" s="338">
        <v>9550000</v>
      </c>
    </row>
    <row r="196" spans="3:3">
      <c r="C196" s="338">
        <v>9600000</v>
      </c>
    </row>
    <row r="197" spans="3:3">
      <c r="C197" s="338">
        <v>9650000</v>
      </c>
    </row>
    <row r="198" spans="3:3">
      <c r="C198" s="338">
        <v>9700000</v>
      </c>
    </row>
    <row r="199" spans="3:3">
      <c r="C199" s="338">
        <v>9750000</v>
      </c>
    </row>
    <row r="200" spans="3:3">
      <c r="C200" s="338">
        <v>9800000</v>
      </c>
    </row>
    <row r="201" spans="3:3">
      <c r="C201" s="338">
        <v>9850000</v>
      </c>
    </row>
    <row r="202" spans="3:3">
      <c r="C202" s="338">
        <v>9900000</v>
      </c>
    </row>
    <row r="203" spans="3:3">
      <c r="C203" s="338">
        <v>9950000</v>
      </c>
    </row>
    <row r="204" spans="3:3">
      <c r="C204" s="338">
        <v>10000000</v>
      </c>
    </row>
    <row r="205" spans="3:3">
      <c r="C205" s="338">
        <v>10050000</v>
      </c>
    </row>
    <row r="206" spans="3:3">
      <c r="C206" s="338">
        <v>10100000</v>
      </c>
    </row>
    <row r="207" spans="3:3">
      <c r="C207" s="338">
        <v>10150000</v>
      </c>
    </row>
    <row r="208" spans="3:3">
      <c r="C208" s="338">
        <v>10200000</v>
      </c>
    </row>
    <row r="209" spans="3:3">
      <c r="C209" s="338">
        <v>10250000</v>
      </c>
    </row>
    <row r="210" spans="3:3">
      <c r="C210" s="338">
        <v>10300000</v>
      </c>
    </row>
    <row r="211" spans="3:3">
      <c r="C211" s="338">
        <v>10350000</v>
      </c>
    </row>
    <row r="212" spans="3:3">
      <c r="C212" s="338">
        <v>10400000</v>
      </c>
    </row>
    <row r="213" spans="3:3">
      <c r="C213" s="338">
        <v>10450000</v>
      </c>
    </row>
    <row r="214" spans="3:3">
      <c r="C214" s="338">
        <v>10500000</v>
      </c>
    </row>
    <row r="215" spans="3:3">
      <c r="C215" s="338">
        <v>10550000</v>
      </c>
    </row>
    <row r="216" spans="3:3">
      <c r="C216" s="338">
        <v>10600000</v>
      </c>
    </row>
    <row r="217" spans="3:3">
      <c r="C217" s="338">
        <v>10650000</v>
      </c>
    </row>
    <row r="218" spans="3:3">
      <c r="C218" s="338">
        <v>10700000</v>
      </c>
    </row>
    <row r="219" spans="3:3">
      <c r="C219" s="338">
        <v>10750000</v>
      </c>
    </row>
    <row r="220" spans="3:3">
      <c r="C220" s="338">
        <v>10800000</v>
      </c>
    </row>
    <row r="221" spans="3:3">
      <c r="C221" s="338">
        <v>10850000</v>
      </c>
    </row>
    <row r="222" spans="3:3">
      <c r="C222" s="338">
        <v>10900000</v>
      </c>
    </row>
    <row r="223" spans="3:3">
      <c r="C223" s="338">
        <v>10950000</v>
      </c>
    </row>
    <row r="224" spans="3:3">
      <c r="C224" s="338">
        <v>11000000</v>
      </c>
    </row>
    <row r="225" spans="3:3">
      <c r="C225" s="338">
        <v>11050000</v>
      </c>
    </row>
    <row r="226" spans="3:3">
      <c r="C226" s="338">
        <v>11100000</v>
      </c>
    </row>
    <row r="227" spans="3:3">
      <c r="C227" s="338">
        <v>11150000</v>
      </c>
    </row>
    <row r="228" spans="3:3">
      <c r="C228" s="338">
        <v>11200000</v>
      </c>
    </row>
    <row r="229" spans="3:3">
      <c r="C229" s="338">
        <v>11250000</v>
      </c>
    </row>
    <row r="230" spans="3:3">
      <c r="C230" s="338">
        <v>11300000</v>
      </c>
    </row>
    <row r="231" spans="3:3">
      <c r="C231" s="338">
        <v>11350000</v>
      </c>
    </row>
    <row r="232" spans="3:3">
      <c r="C232" s="338">
        <v>11400000</v>
      </c>
    </row>
    <row r="233" spans="3:3">
      <c r="C233" s="338">
        <v>11450000</v>
      </c>
    </row>
    <row r="234" spans="3:3">
      <c r="C234" s="338">
        <v>11500000</v>
      </c>
    </row>
    <row r="235" spans="3:3">
      <c r="C235" s="338">
        <v>11550000</v>
      </c>
    </row>
    <row r="236" spans="3:3">
      <c r="C236" s="338">
        <v>11600000</v>
      </c>
    </row>
    <row r="237" spans="3:3">
      <c r="C237" s="338">
        <v>11650000</v>
      </c>
    </row>
    <row r="238" spans="3:3">
      <c r="C238" s="338">
        <v>11700000</v>
      </c>
    </row>
    <row r="239" spans="3:3">
      <c r="C239" s="338">
        <v>11750000</v>
      </c>
    </row>
    <row r="240" spans="3:3">
      <c r="C240" s="338">
        <v>11800000</v>
      </c>
    </row>
    <row r="241" spans="3:3">
      <c r="C241" s="338">
        <v>11850000</v>
      </c>
    </row>
    <row r="242" spans="3:3">
      <c r="C242" s="338">
        <v>11900000</v>
      </c>
    </row>
    <row r="243" spans="3:3">
      <c r="C243" s="338">
        <v>11950000</v>
      </c>
    </row>
    <row r="244" spans="3:3">
      <c r="C244" s="338">
        <v>12000000</v>
      </c>
    </row>
    <row r="245" spans="3:3">
      <c r="C245" s="338">
        <v>12050000</v>
      </c>
    </row>
    <row r="246" spans="3:3">
      <c r="C246" s="338">
        <v>12100000</v>
      </c>
    </row>
    <row r="247" spans="3:3">
      <c r="C247" s="338">
        <v>12150000</v>
      </c>
    </row>
    <row r="248" spans="3:3">
      <c r="C248" s="338">
        <v>12200000</v>
      </c>
    </row>
    <row r="249" spans="3:3">
      <c r="C249" s="338">
        <v>12250000</v>
      </c>
    </row>
    <row r="250" spans="3:3">
      <c r="C250" s="338">
        <v>12300000</v>
      </c>
    </row>
    <row r="251" spans="3:3">
      <c r="C251" s="338">
        <v>12350000</v>
      </c>
    </row>
    <row r="252" spans="3:3">
      <c r="C252" s="338">
        <v>12400000</v>
      </c>
    </row>
    <row r="253" spans="3:3">
      <c r="C253" s="338">
        <v>12450000</v>
      </c>
    </row>
    <row r="254" spans="3:3">
      <c r="C254" s="338">
        <v>12500000</v>
      </c>
    </row>
    <row r="255" spans="3:3">
      <c r="C255" s="338">
        <v>12550000</v>
      </c>
    </row>
    <row r="256" spans="3:3">
      <c r="C256" s="338">
        <v>12600000</v>
      </c>
    </row>
    <row r="257" spans="3:3">
      <c r="C257" s="338">
        <v>12650000</v>
      </c>
    </row>
    <row r="258" spans="3:3">
      <c r="C258" s="338">
        <v>12700000</v>
      </c>
    </row>
    <row r="259" spans="3:3">
      <c r="C259" s="338">
        <v>12750000</v>
      </c>
    </row>
    <row r="260" spans="3:3">
      <c r="C260" s="338">
        <v>12800000</v>
      </c>
    </row>
    <row r="261" spans="3:3">
      <c r="C261" s="338">
        <v>12850000</v>
      </c>
    </row>
    <row r="262" spans="3:3">
      <c r="C262" s="338">
        <v>12900000</v>
      </c>
    </row>
    <row r="263" spans="3:3">
      <c r="C263" s="338">
        <v>12950000</v>
      </c>
    </row>
    <row r="264" spans="3:3">
      <c r="C264" s="338">
        <v>13000000</v>
      </c>
    </row>
    <row r="265" spans="3:3">
      <c r="C265" s="338">
        <v>13050000</v>
      </c>
    </row>
    <row r="266" spans="3:3">
      <c r="C266" s="338">
        <v>13100000</v>
      </c>
    </row>
    <row r="267" spans="3:3">
      <c r="C267" s="338">
        <v>13150000</v>
      </c>
    </row>
    <row r="268" spans="3:3">
      <c r="C268" s="338">
        <v>13200000</v>
      </c>
    </row>
    <row r="269" spans="3:3">
      <c r="C269" s="338">
        <v>13250000</v>
      </c>
    </row>
    <row r="270" spans="3:3">
      <c r="C270" s="338">
        <v>13300000</v>
      </c>
    </row>
    <row r="271" spans="3:3">
      <c r="C271" s="338">
        <v>13350000</v>
      </c>
    </row>
    <row r="272" spans="3:3">
      <c r="C272" s="338">
        <v>13400000</v>
      </c>
    </row>
    <row r="273" spans="3:3">
      <c r="C273" s="338">
        <v>13450000</v>
      </c>
    </row>
    <row r="274" spans="3:3">
      <c r="C274" s="338">
        <v>13500000</v>
      </c>
    </row>
    <row r="275" spans="3:3">
      <c r="C275" s="338">
        <v>13550000</v>
      </c>
    </row>
    <row r="276" spans="3:3">
      <c r="C276" s="338">
        <v>13600000</v>
      </c>
    </row>
    <row r="277" spans="3:3">
      <c r="C277" s="338">
        <v>13650000</v>
      </c>
    </row>
    <row r="278" spans="3:3">
      <c r="C278" s="338">
        <v>13700000</v>
      </c>
    </row>
    <row r="279" spans="3:3">
      <c r="C279" s="338">
        <v>13750000</v>
      </c>
    </row>
    <row r="280" spans="3:3">
      <c r="C280" s="338">
        <v>13800000</v>
      </c>
    </row>
    <row r="281" spans="3:3">
      <c r="C281" s="338">
        <v>13850000</v>
      </c>
    </row>
    <row r="282" spans="3:3">
      <c r="C282" s="338">
        <v>13900000</v>
      </c>
    </row>
    <row r="283" spans="3:3">
      <c r="C283" s="338">
        <v>13950000</v>
      </c>
    </row>
    <row r="284" spans="3:3">
      <c r="C284" s="338">
        <v>14000000</v>
      </c>
    </row>
    <row r="285" spans="3:3">
      <c r="C285" s="338">
        <v>14050000</v>
      </c>
    </row>
    <row r="286" spans="3:3">
      <c r="C286" s="338">
        <v>14100000</v>
      </c>
    </row>
    <row r="287" spans="3:3">
      <c r="C287" s="338">
        <v>14150000</v>
      </c>
    </row>
    <row r="288" spans="3:3">
      <c r="C288" s="338">
        <v>14200000</v>
      </c>
    </row>
    <row r="289" spans="3:3">
      <c r="C289" s="338">
        <v>14250000</v>
      </c>
    </row>
    <row r="290" spans="3:3">
      <c r="C290" s="338">
        <v>14300000</v>
      </c>
    </row>
    <row r="291" spans="3:3">
      <c r="C291" s="338">
        <v>14350000</v>
      </c>
    </row>
    <row r="292" spans="3:3">
      <c r="C292" s="338">
        <v>14400000</v>
      </c>
    </row>
    <row r="293" spans="3:3">
      <c r="C293" s="338">
        <v>14450000</v>
      </c>
    </row>
    <row r="294" spans="3:3">
      <c r="C294" s="338">
        <v>14500000</v>
      </c>
    </row>
    <row r="295" spans="3:3">
      <c r="C295" s="338">
        <v>14550000</v>
      </c>
    </row>
    <row r="296" spans="3:3">
      <c r="C296" s="338">
        <v>14600000</v>
      </c>
    </row>
    <row r="297" spans="3:3">
      <c r="C297" s="338">
        <v>14650000</v>
      </c>
    </row>
    <row r="298" spans="3:3">
      <c r="C298" s="338">
        <v>14700000</v>
      </c>
    </row>
    <row r="299" spans="3:3">
      <c r="C299" s="338">
        <v>14750000</v>
      </c>
    </row>
    <row r="300" spans="3:3">
      <c r="C300" s="338">
        <v>14800000</v>
      </c>
    </row>
    <row r="301" spans="3:3">
      <c r="C301" s="338">
        <v>14850000</v>
      </c>
    </row>
    <row r="302" spans="3:3">
      <c r="C302" s="338">
        <v>14900000</v>
      </c>
    </row>
    <row r="303" spans="3:3">
      <c r="C303" s="338">
        <v>14950000</v>
      </c>
    </row>
    <row r="304" spans="3:3">
      <c r="C304" s="338">
        <v>15000000</v>
      </c>
    </row>
  </sheetData>
  <sheetProtection algorithmName="SHA-512" hashValue="yhSq1bvFyScp1au2JsnlQNfj3NN5fdUx9i/QRflPhOMEP5bmVxwwXmieSADhYYQ9m8AGbkeMJx1zWJ0Vy1l3gg==" saltValue="49o8ReJphaSDiZwORTyWEA=="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入力＆結果</vt:lpstr>
      <vt:lpstr>計算の詳細</vt:lpstr>
      <vt:lpstr>算出基礎情報</vt:lpstr>
      <vt:lpstr>給与所得算出</vt:lpstr>
      <vt:lpstr>年金所得算出</vt:lpstr>
      <vt:lpstr>源泉徴収票等の見方</vt:lpstr>
      <vt:lpstr>内訳表</vt:lpstr>
      <vt:lpstr>ドロップダウンリスト</vt:lpstr>
      <vt:lpstr>計算の詳細!Print_Area</vt:lpstr>
      <vt:lpstr>算出基礎情報!Print_Area</vt:lpstr>
      <vt:lpstr>'入力＆結果'!Print_Area</vt:lpstr>
      <vt:lpstr>昭和</vt:lpstr>
      <vt:lpstr>昭和_</vt:lpstr>
      <vt:lpstr>平成</vt:lpstr>
      <vt:lpstr>令和</vt:lpstr>
      <vt:lpstr>令和８年</vt:lpstr>
      <vt:lpstr>令和９年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末松 太一</cp:lastModifiedBy>
  <cp:lastPrinted>2026-03-27T02:11:40Z</cp:lastPrinted>
  <dcterms:created xsi:type="dcterms:W3CDTF">2015-06-05T18:19:34Z</dcterms:created>
  <dcterms:modified xsi:type="dcterms:W3CDTF">2026-03-27T03:10:57Z</dcterms:modified>
</cp:coreProperties>
</file>